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E/K58nwzOYWnF2rdmfcUYIgvVoe3wlq0LuZgwH+xSSsObB5pgEsET1NfuoVCx1A0Xn2knbjJyEiFX5BTbQuxeA==" saltValue="+/u+gOFh1PJlfHGCmfZ9dQ==" spinCount="100000"/>
  <workbookPr codeName="ThisWorkbook" defaultThemeVersion="124226"/>
  <mc:AlternateContent xmlns:mc="http://schemas.openxmlformats.org/markup-compatibility/2006">
    <mc:Choice Requires="x15">
      <x15ac:absPath xmlns:x15ac="http://schemas.microsoft.com/office/spreadsheetml/2010/11/ac" url="J:\AEP SPP Trans Formula Rates PSO SWE OKT SWT\2019 Annual Update\Transco_OKTCo_SWTCo\Filing 5-25-19 Transcos\"/>
    </mc:Choice>
  </mc:AlternateContent>
  <bookViews>
    <workbookView xWindow="390" yWindow="6510" windowWidth="27750" windowHeight="7005" tabRatio="834"/>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7" r:id="rId21"/>
    <sheet name="OKT.019" sheetId="38" r:id="rId22"/>
    <sheet name="OKT.xyz - blank" sheetId="13" r:id="rId23"/>
  </sheets>
  <externalReferences>
    <externalReference r:id="rId24"/>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OKT.Sch.11.Rates!$A$1:$T$40</definedName>
    <definedName name="_xlnm.Print_Area" localSheetId="1">OKT.WS.F.BPU.ATRR.Projected!$A$1:$O$89</definedName>
    <definedName name="_xlnm.Print_Area" localSheetId="2">'OKT.WS.G.BPU.ATRR.True-up'!$A$1:$P$96</definedName>
    <definedName name="_xlnm.Print_Area" localSheetId="22">'OKT.xyz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2">'OKT.xyz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62913"/>
</workbook>
</file>

<file path=xl/calcChain.xml><?xml version="1.0" encoding="utf-8"?>
<calcChain xmlns="http://schemas.openxmlformats.org/spreadsheetml/2006/main">
  <c r="M17" i="38" l="1"/>
  <c r="K17" i="38"/>
  <c r="M19" i="37"/>
  <c r="K19" i="37"/>
  <c r="L19" i="37" s="1"/>
  <c r="M18" i="37"/>
  <c r="K18" i="37"/>
  <c r="L18" i="37" s="1"/>
  <c r="N88" i="38"/>
  <c r="N6" i="38"/>
  <c r="N5" i="38"/>
  <c r="I45" i="17"/>
  <c r="F12" i="1" l="1"/>
  <c r="D45" i="17"/>
  <c r="W36" i="17" l="1"/>
  <c r="D36" i="17"/>
  <c r="F58" i="2" l="1"/>
  <c r="C58" i="2"/>
  <c r="E34" i="2"/>
  <c r="C34" i="2"/>
  <c r="F81" i="2" l="1"/>
  <c r="C81" i="2"/>
  <c r="F75" i="2"/>
  <c r="C75" i="2"/>
  <c r="F47" i="2"/>
  <c r="F46" i="2"/>
  <c r="F45" i="2"/>
  <c r="F44" i="2"/>
  <c r="C47" i="2"/>
  <c r="C46" i="2"/>
  <c r="C45" i="2"/>
  <c r="C44" i="2"/>
  <c r="F48" i="2" l="1"/>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M102" i="38"/>
  <c r="O101" i="38"/>
  <c r="M101" i="38"/>
  <c r="O100" i="38"/>
  <c r="M100" i="38"/>
  <c r="E100" i="38"/>
  <c r="J97" i="38"/>
  <c r="D97" i="38"/>
  <c r="D95" i="38"/>
  <c r="L94" i="38"/>
  <c r="J94" i="38"/>
  <c r="D94" i="38"/>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L21" i="38"/>
  <c r="N20" i="38"/>
  <c r="L20" i="38"/>
  <c r="N19" i="38"/>
  <c r="L19" i="38"/>
  <c r="N18" i="38"/>
  <c r="L18" i="38"/>
  <c r="N17" i="38"/>
  <c r="L17" i="38"/>
  <c r="C17" i="38"/>
  <c r="C18" i="38"/>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O17" i="37" s="1"/>
  <c r="K17" i="37"/>
  <c r="N100" i="35"/>
  <c r="L100" i="35"/>
  <c r="M18" i="35"/>
  <c r="N18" i="35" s="1"/>
  <c r="O18" i="35" s="1"/>
  <c r="K18" i="35"/>
  <c r="L18" i="35" s="1"/>
  <c r="N100" i="34"/>
  <c r="L100" i="34"/>
  <c r="M100" i="34" s="1"/>
  <c r="M18" i="34"/>
  <c r="N18" i="34" s="1"/>
  <c r="O18" i="34" s="1"/>
  <c r="K18" i="34"/>
  <c r="N100" i="31"/>
  <c r="L100" i="31"/>
  <c r="M18" i="31"/>
  <c r="N18" i="31" s="1"/>
  <c r="O18" i="31" s="1"/>
  <c r="K18" i="31"/>
  <c r="N100" i="29"/>
  <c r="L100" i="29"/>
  <c r="M100" i="29" s="1"/>
  <c r="M19" i="29"/>
  <c r="N19" i="29" s="1"/>
  <c r="K19" i="29"/>
  <c r="L19" i="29" s="1"/>
  <c r="N104" i="28"/>
  <c r="O104" i="28" s="1"/>
  <c r="P104" i="28" s="1"/>
  <c r="M104" i="28"/>
  <c r="L104" i="28"/>
  <c r="M22" i="28"/>
  <c r="N22" i="28" s="1"/>
  <c r="K22" i="28"/>
  <c r="L22" i="28" s="1"/>
  <c r="N104" i="27"/>
  <c r="O104" i="27" s="1"/>
  <c r="L104" i="27"/>
  <c r="M104" i="27" s="1"/>
  <c r="M22" i="27"/>
  <c r="N22" i="27"/>
  <c r="L22" i="27"/>
  <c r="K22" i="27"/>
  <c r="N103" i="26"/>
  <c r="O103" i="26" s="1"/>
  <c r="L103" i="26"/>
  <c r="M103" i="26"/>
  <c r="M21" i="26"/>
  <c r="N21" i="26" s="1"/>
  <c r="K21" i="26"/>
  <c r="L21" i="26" s="1"/>
  <c r="O21" i="26" s="1"/>
  <c r="N104" i="24"/>
  <c r="O104" i="24" s="1"/>
  <c r="L104" i="24"/>
  <c r="M104" i="24" s="1"/>
  <c r="M22" i="24"/>
  <c r="N22" i="24"/>
  <c r="K22" i="24"/>
  <c r="L22" i="24" s="1"/>
  <c r="N102" i="25"/>
  <c r="O102" i="25"/>
  <c r="L102" i="25"/>
  <c r="M102" i="25" s="1"/>
  <c r="P102" i="25" s="1"/>
  <c r="M20" i="25"/>
  <c r="N20" i="25" s="1"/>
  <c r="K20" i="25"/>
  <c r="L20" i="25" s="1"/>
  <c r="N103" i="23"/>
  <c r="O103" i="23" s="1"/>
  <c r="P103" i="23"/>
  <c r="M103" i="23"/>
  <c r="L103" i="23"/>
  <c r="M21" i="23"/>
  <c r="N21" i="23" s="1"/>
  <c r="L21" i="23"/>
  <c r="K21" i="23"/>
  <c r="N103" i="22"/>
  <c r="O103" i="22" s="1"/>
  <c r="L103" i="22"/>
  <c r="M103" i="22" s="1"/>
  <c r="M21" i="22"/>
  <c r="N21" i="22" s="1"/>
  <c r="O21" i="22" s="1"/>
  <c r="K21" i="22"/>
  <c r="L21" i="22"/>
  <c r="N104" i="21"/>
  <c r="O104" i="21" s="1"/>
  <c r="P104" i="21" s="1"/>
  <c r="L104" i="21"/>
  <c r="M104" i="21" s="1"/>
  <c r="M22" i="21"/>
  <c r="N22" i="21" s="1"/>
  <c r="L22" i="21"/>
  <c r="O22" i="21" s="1"/>
  <c r="K22" i="21"/>
  <c r="N106" i="19"/>
  <c r="O106" i="19" s="1"/>
  <c r="M106" i="19"/>
  <c r="L106" i="19"/>
  <c r="M24" i="19"/>
  <c r="N24" i="19" s="1"/>
  <c r="O24" i="19" s="1"/>
  <c r="K24" i="19"/>
  <c r="L24" i="19" s="1"/>
  <c r="N106" i="18"/>
  <c r="O106" i="18"/>
  <c r="P106" i="18" s="1"/>
  <c r="L106" i="18"/>
  <c r="M106" i="18" s="1"/>
  <c r="M24" i="18"/>
  <c r="N24" i="18" s="1"/>
  <c r="K24" i="18"/>
  <c r="L24" i="18" s="1"/>
  <c r="N107" i="4"/>
  <c r="O107" i="4"/>
  <c r="P107" i="4" s="1"/>
  <c r="L107" i="4"/>
  <c r="M107" i="4" s="1"/>
  <c r="M25" i="3"/>
  <c r="N25" i="3"/>
  <c r="O25" i="3" s="1"/>
  <c r="K25" i="3"/>
  <c r="L25" i="3" s="1"/>
  <c r="N107" i="3"/>
  <c r="O107" i="3" s="1"/>
  <c r="L107" i="3"/>
  <c r="M107" i="3" s="1"/>
  <c r="M25" i="4"/>
  <c r="N25" i="4" s="1"/>
  <c r="K25" i="4"/>
  <c r="L25" i="4" s="1"/>
  <c r="O25" i="4" s="1"/>
  <c r="M17" i="31"/>
  <c r="K17" i="31"/>
  <c r="M17" i="35"/>
  <c r="N17" i="35"/>
  <c r="K17" i="35"/>
  <c r="L17" i="35" s="1"/>
  <c r="M17" i="34"/>
  <c r="N17" i="34" s="1"/>
  <c r="K17" i="34"/>
  <c r="C85" i="1"/>
  <c r="F82" i="1"/>
  <c r="C78" i="1"/>
  <c r="F72" i="1"/>
  <c r="C62" i="1"/>
  <c r="F44" i="1"/>
  <c r="C43" i="1"/>
  <c r="F42" i="1"/>
  <c r="C34" i="1"/>
  <c r="E31" i="1"/>
  <c r="C24" i="1"/>
  <c r="D18" i="1"/>
  <c r="I10" i="13"/>
  <c r="F56" i="1"/>
  <c r="C45" i="1"/>
  <c r="C56"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O102" i="37"/>
  <c r="M102" i="37"/>
  <c r="O101" i="37"/>
  <c r="M101" i="37"/>
  <c r="O100" i="37"/>
  <c r="M100" i="37"/>
  <c r="D97" i="37"/>
  <c r="D95" i="37"/>
  <c r="L94" i="37"/>
  <c r="J94" i="37"/>
  <c r="D94" i="37"/>
  <c r="C100" i="37"/>
  <c r="D100" i="37" s="1"/>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O54" i="37" s="1"/>
  <c r="L54" i="37"/>
  <c r="N53" i="37"/>
  <c r="L53" i="37"/>
  <c r="N52" i="37"/>
  <c r="O52" i="37" s="1"/>
  <c r="L52" i="37"/>
  <c r="N51" i="37"/>
  <c r="L51" i="37"/>
  <c r="N50" i="37"/>
  <c r="L50" i="37"/>
  <c r="N49" i="37"/>
  <c r="L49" i="37"/>
  <c r="N48" i="37"/>
  <c r="L48" i="37"/>
  <c r="N47" i="37"/>
  <c r="L47" i="37"/>
  <c r="N46" i="37"/>
  <c r="L46" i="37"/>
  <c r="N45" i="37"/>
  <c r="L45" i="37"/>
  <c r="N44" i="37"/>
  <c r="L44" i="37"/>
  <c r="N43" i="37"/>
  <c r="L43" i="37"/>
  <c r="N42" i="37"/>
  <c r="O42" i="37" s="1"/>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L21" i="37"/>
  <c r="N20" i="37"/>
  <c r="L20" i="37"/>
  <c r="N19" i="37"/>
  <c r="N18" i="37"/>
  <c r="L17"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c r="K18" i="29"/>
  <c r="O103" i="28"/>
  <c r="N103" i="28"/>
  <c r="L103" i="28"/>
  <c r="M103" i="28" s="1"/>
  <c r="M21" i="28"/>
  <c r="N21" i="28" s="1"/>
  <c r="K21" i="28"/>
  <c r="L21" i="28" s="1"/>
  <c r="N103" i="27"/>
  <c r="O103" i="27"/>
  <c r="L103" i="27"/>
  <c r="M103" i="27"/>
  <c r="M21" i="27"/>
  <c r="N21" i="27"/>
  <c r="O21" i="27" s="1"/>
  <c r="L21" i="27"/>
  <c r="K21" i="27"/>
  <c r="N102" i="26"/>
  <c r="O102" i="26" s="1"/>
  <c r="L102" i="26"/>
  <c r="M102" i="26" s="1"/>
  <c r="M20" i="26"/>
  <c r="K20" i="26"/>
  <c r="L20" i="26" s="1"/>
  <c r="N103" i="24"/>
  <c r="O103" i="24"/>
  <c r="P103" i="24" s="1"/>
  <c r="L103" i="24"/>
  <c r="M103" i="24" s="1"/>
  <c r="M21" i="24"/>
  <c r="K21" i="24"/>
  <c r="L21" i="24" s="1"/>
  <c r="N101" i="25"/>
  <c r="O101" i="25"/>
  <c r="P101" i="25" s="1"/>
  <c r="L101" i="25"/>
  <c r="M101" i="25"/>
  <c r="M19" i="25"/>
  <c r="N19" i="25"/>
  <c r="K19" i="25"/>
  <c r="L19" i="25" s="1"/>
  <c r="N102" i="23"/>
  <c r="O102" i="23" s="1"/>
  <c r="P102" i="23" s="1"/>
  <c r="L102" i="23"/>
  <c r="M102" i="23"/>
  <c r="M20" i="23"/>
  <c r="N20" i="23" s="1"/>
  <c r="K20" i="23"/>
  <c r="L20" i="23"/>
  <c r="N102" i="22"/>
  <c r="O102" i="22"/>
  <c r="P102" i="22" s="1"/>
  <c r="L102" i="22"/>
  <c r="M102" i="22" s="1"/>
  <c r="M20" i="22"/>
  <c r="N20" i="22"/>
  <c r="K20" i="22"/>
  <c r="L20" i="22" s="1"/>
  <c r="I20" i="22"/>
  <c r="N103" i="21"/>
  <c r="O103" i="21"/>
  <c r="L103" i="21"/>
  <c r="M103" i="21" s="1"/>
  <c r="M21" i="21"/>
  <c r="N21" i="21"/>
  <c r="K21" i="21"/>
  <c r="L21" i="21" s="1"/>
  <c r="N105" i="19"/>
  <c r="O105" i="19" s="1"/>
  <c r="L105" i="19"/>
  <c r="M105" i="19" s="1"/>
  <c r="M23" i="19"/>
  <c r="N23" i="19" s="1"/>
  <c r="O23" i="19"/>
  <c r="K23" i="19"/>
  <c r="L23" i="19" s="1"/>
  <c r="N105" i="18"/>
  <c r="O105" i="18" s="1"/>
  <c r="L105" i="18"/>
  <c r="M105" i="18"/>
  <c r="M23" i="18"/>
  <c r="N23" i="18" s="1"/>
  <c r="O23" i="18" s="1"/>
  <c r="K23" i="18"/>
  <c r="L23" i="18" s="1"/>
  <c r="N106" i="4"/>
  <c r="O106" i="4"/>
  <c r="L106" i="4"/>
  <c r="M106" i="4"/>
  <c r="M24" i="4"/>
  <c r="N24" i="4"/>
  <c r="K24" i="4"/>
  <c r="L24" i="4" s="1"/>
  <c r="N106" i="3"/>
  <c r="O106" i="3"/>
  <c r="M106" i="3"/>
  <c r="L106" i="3"/>
  <c r="M24" i="3"/>
  <c r="N24" i="3" s="1"/>
  <c r="K24" i="3"/>
  <c r="L24" i="3"/>
  <c r="K17" i="29"/>
  <c r="F66" i="2"/>
  <c r="C66" i="2"/>
  <c r="I10" i="35"/>
  <c r="I10" i="34"/>
  <c r="D95" i="34" s="1"/>
  <c r="I10" i="31"/>
  <c r="I10" i="28"/>
  <c r="I10" i="27"/>
  <c r="I10" i="24"/>
  <c r="I10" i="25"/>
  <c r="D95" i="25" s="1"/>
  <c r="I10" i="23"/>
  <c r="I10" i="21"/>
  <c r="I10" i="20"/>
  <c r="D93" i="20" s="1"/>
  <c r="I10" i="19"/>
  <c r="D95" i="19" s="1"/>
  <c r="I10" i="4"/>
  <c r="D93" i="4" s="1"/>
  <c r="B106" i="4"/>
  <c r="I10" i="3"/>
  <c r="N73" i="13"/>
  <c r="L73" i="13"/>
  <c r="N72" i="13"/>
  <c r="L72" i="13"/>
  <c r="N73" i="35"/>
  <c r="L73" i="35"/>
  <c r="N72" i="35"/>
  <c r="L72" i="35"/>
  <c r="N73" i="34"/>
  <c r="L73" i="34"/>
  <c r="N72" i="34"/>
  <c r="L72" i="34"/>
  <c r="D95" i="13"/>
  <c r="D94" i="13"/>
  <c r="W32" i="17"/>
  <c r="W33" i="17"/>
  <c r="W34" i="17"/>
  <c r="O38" i="17"/>
  <c r="N38"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M103" i="35"/>
  <c r="O102" i="35"/>
  <c r="M102" i="35"/>
  <c r="O101" i="35"/>
  <c r="M101" i="35"/>
  <c r="O100" i="35"/>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L22" i="35"/>
  <c r="N21" i="35"/>
  <c r="L21" i="35"/>
  <c r="N20" i="35"/>
  <c r="L20" i="35"/>
  <c r="N19" i="35"/>
  <c r="L19"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M103" i="34"/>
  <c r="O102" i="34"/>
  <c r="M102" i="34"/>
  <c r="O101" i="34"/>
  <c r="M101"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L22" i="34"/>
  <c r="N21" i="34"/>
  <c r="L21" i="34"/>
  <c r="N20" i="34"/>
  <c r="L20" i="34"/>
  <c r="N19" i="34"/>
  <c r="L19" i="34"/>
  <c r="L18" i="34"/>
  <c r="L17" i="34"/>
  <c r="C17" i="34"/>
  <c r="C18" i="34"/>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B17" i="34"/>
  <c r="K11" i="34"/>
  <c r="I11" i="34"/>
  <c r="D8" i="34"/>
  <c r="D91" i="34" s="1"/>
  <c r="B21" i="28"/>
  <c r="B22" i="19"/>
  <c r="D93" i="25"/>
  <c r="N102" i="28"/>
  <c r="L102" i="28"/>
  <c r="M102" i="28" s="1"/>
  <c r="N102" i="27"/>
  <c r="L102" i="27"/>
  <c r="M102" i="27"/>
  <c r="N101" i="26"/>
  <c r="L101" i="26"/>
  <c r="M101" i="26"/>
  <c r="N102" i="24"/>
  <c r="L102" i="24"/>
  <c r="M102" i="24"/>
  <c r="N100" i="25"/>
  <c r="L100" i="25"/>
  <c r="M100" i="25" s="1"/>
  <c r="L101" i="23"/>
  <c r="M101" i="23"/>
  <c r="N101" i="23"/>
  <c r="O101" i="23" s="1"/>
  <c r="L101" i="22"/>
  <c r="M101" i="22" s="1"/>
  <c r="N101" i="22"/>
  <c r="O101" i="22" s="1"/>
  <c r="P101" i="22" s="1"/>
  <c r="L102" i="21"/>
  <c r="M102" i="21"/>
  <c r="N102" i="21"/>
  <c r="L104" i="19"/>
  <c r="M104" i="19" s="1"/>
  <c r="N104" i="19"/>
  <c r="O104" i="19" s="1"/>
  <c r="L104" i="18"/>
  <c r="M104" i="18" s="1"/>
  <c r="N104" i="18"/>
  <c r="O104" i="18"/>
  <c r="P104" i="18" s="1"/>
  <c r="L105" i="3"/>
  <c r="M105" i="3" s="1"/>
  <c r="N105" i="3"/>
  <c r="O105" i="3" s="1"/>
  <c r="M17" i="29"/>
  <c r="L17" i="29"/>
  <c r="K20" i="28"/>
  <c r="L20" i="28" s="1"/>
  <c r="M20" i="28"/>
  <c r="K20" i="27"/>
  <c r="L20" i="27"/>
  <c r="M20" i="27"/>
  <c r="K19" i="26"/>
  <c r="L19" i="26"/>
  <c r="M19" i="26"/>
  <c r="K20" i="24"/>
  <c r="L20" i="24"/>
  <c r="M20" i="24"/>
  <c r="K18" i="25"/>
  <c r="L18" i="25" s="1"/>
  <c r="M18" i="25"/>
  <c r="K19" i="23"/>
  <c r="L19" i="23"/>
  <c r="M19" i="23"/>
  <c r="K19" i="22"/>
  <c r="L19" i="22" s="1"/>
  <c r="M19" i="22"/>
  <c r="K20" i="21"/>
  <c r="L20" i="21" s="1"/>
  <c r="M20" i="21"/>
  <c r="K22" i="19"/>
  <c r="L22" i="19" s="1"/>
  <c r="M22" i="19"/>
  <c r="K22" i="18"/>
  <c r="L22" i="18"/>
  <c r="M22" i="18"/>
  <c r="K23" i="4"/>
  <c r="L23" i="4"/>
  <c r="O23" i="4"/>
  <c r="M23" i="4"/>
  <c r="N23" i="4"/>
  <c r="K23" i="3"/>
  <c r="L23" i="3"/>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c r="N105" i="4"/>
  <c r="O105" i="4"/>
  <c r="L104" i="3"/>
  <c r="M104" i="3"/>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M101" i="31"/>
  <c r="L19" i="31"/>
  <c r="L18" i="31"/>
  <c r="L17"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M103" i="31"/>
  <c r="O102" i="31"/>
  <c r="M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L22" i="31"/>
  <c r="N21" i="31"/>
  <c r="L21" i="31"/>
  <c r="N20" i="31"/>
  <c r="L20" i="31"/>
  <c r="N19" i="31"/>
  <c r="N17" i="31"/>
  <c r="O17" i="3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6" i="1"/>
  <c r="F83" i="1"/>
  <c r="D10" i="19"/>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M104" i="29"/>
  <c r="O103" i="29"/>
  <c r="M103" i="29"/>
  <c r="O102" i="29"/>
  <c r="M102" i="29"/>
  <c r="O101" i="29"/>
  <c r="M101" i="29"/>
  <c r="O100"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L23" i="29"/>
  <c r="N22" i="29"/>
  <c r="L22" i="29"/>
  <c r="N21" i="29"/>
  <c r="L21" i="29"/>
  <c r="N20" i="29"/>
  <c r="L20" i="29"/>
  <c r="N17" i="29"/>
  <c r="C17" i="29"/>
  <c r="C18" i="29"/>
  <c r="C19" i="29" s="1"/>
  <c r="C20" i="29" s="1"/>
  <c r="C21" i="29" s="1"/>
  <c r="C22" i="29" s="1"/>
  <c r="C23" i="29" s="1"/>
  <c r="C24" i="29"/>
  <c r="C25" i="29" s="1"/>
  <c r="C26" i="29" s="1"/>
  <c r="C27" i="29" s="1"/>
  <c r="C28" i="29" s="1"/>
  <c r="C29" i="29" s="1"/>
  <c r="C30" i="29" s="1"/>
  <c r="C31" i="29" s="1"/>
  <c r="C32" i="29" s="1"/>
  <c r="K11" i="29"/>
  <c r="I11" i="29"/>
  <c r="D8" i="29"/>
  <c r="D91" i="29" s="1"/>
  <c r="B100" i="22"/>
  <c r="B18" i="22"/>
  <c r="B17" i="22"/>
  <c r="B102" i="28"/>
  <c r="B20" i="28"/>
  <c r="B19" i="28"/>
  <c r="B18" i="28"/>
  <c r="B17" i="28"/>
  <c r="D95" i="28"/>
  <c r="D94" i="28"/>
  <c r="M19" i="28"/>
  <c r="N19" i="28"/>
  <c r="O19" i="28" s="1"/>
  <c r="K19" i="28"/>
  <c r="L19" i="28"/>
  <c r="D95" i="27"/>
  <c r="D94" i="27"/>
  <c r="B20" i="27"/>
  <c r="B19" i="27"/>
  <c r="B18" i="27"/>
  <c r="B17" i="27"/>
  <c r="M19" i="27"/>
  <c r="N19" i="27" s="1"/>
  <c r="O19" i="27" s="1"/>
  <c r="K19" i="27"/>
  <c r="L19" i="27" s="1"/>
  <c r="M18" i="27"/>
  <c r="N18" i="27" s="1"/>
  <c r="K18" i="27"/>
  <c r="L18" i="27" s="1"/>
  <c r="O18" i="27" s="1"/>
  <c r="B101" i="26"/>
  <c r="D95" i="26"/>
  <c r="D94" i="26"/>
  <c r="B18" i="26"/>
  <c r="B17" i="26"/>
  <c r="B20" i="24"/>
  <c r="B19" i="24"/>
  <c r="B18" i="24"/>
  <c r="B17" i="24"/>
  <c r="B19" i="26"/>
  <c r="M18" i="26"/>
  <c r="N18" i="26"/>
  <c r="O18" i="26"/>
  <c r="K18" i="26"/>
  <c r="L18" i="26"/>
  <c r="D95" i="24"/>
  <c r="D94" i="24"/>
  <c r="M19" i="24"/>
  <c r="N19" i="24" s="1"/>
  <c r="K19" i="24"/>
  <c r="L19" i="24"/>
  <c r="B17" i="25"/>
  <c r="B19" i="23"/>
  <c r="B18" i="23"/>
  <c r="B17" i="23"/>
  <c r="B18" i="25"/>
  <c r="M17" i="25"/>
  <c r="N17" i="25" s="1"/>
  <c r="K17" i="25"/>
  <c r="L17" i="25" s="1"/>
  <c r="N100" i="23"/>
  <c r="O100" i="23"/>
  <c r="P100" i="23" s="1"/>
  <c r="M100" i="23"/>
  <c r="L100" i="23"/>
  <c r="M18" i="23"/>
  <c r="N18" i="23"/>
  <c r="O18" i="23" s="1"/>
  <c r="L18" i="23"/>
  <c r="K18" i="23"/>
  <c r="B101" i="22"/>
  <c r="N100" i="22"/>
  <c r="O100" i="22" s="1"/>
  <c r="L100" i="22"/>
  <c r="M100" i="22"/>
  <c r="B102" i="27"/>
  <c r="B19" i="22"/>
  <c r="M18" i="22"/>
  <c r="N18" i="22" s="1"/>
  <c r="O18" i="22" s="1"/>
  <c r="K18" i="22"/>
  <c r="L18" i="22"/>
  <c r="M19" i="21"/>
  <c r="N19" i="21" s="1"/>
  <c r="K19" i="21"/>
  <c r="L19" i="21"/>
  <c r="N103" i="19"/>
  <c r="O103" i="19" s="1"/>
  <c r="L103" i="19"/>
  <c r="M103" i="19" s="1"/>
  <c r="M21" i="19"/>
  <c r="N21" i="19"/>
  <c r="O21" i="19"/>
  <c r="L21" i="19"/>
  <c r="K21" i="19"/>
  <c r="N103" i="18"/>
  <c r="O103" i="18"/>
  <c r="P103" i="18"/>
  <c r="L103" i="18"/>
  <c r="M103" i="18"/>
  <c r="M21" i="18"/>
  <c r="N21" i="18" s="1"/>
  <c r="O21" i="18" s="1"/>
  <c r="K21" i="18"/>
  <c r="L21" i="18"/>
  <c r="N104" i="4"/>
  <c r="O104" i="4" s="1"/>
  <c r="P104" i="4" s="1"/>
  <c r="L104" i="4"/>
  <c r="M104" i="4" s="1"/>
  <c r="M22" i="4"/>
  <c r="N22" i="4" s="1"/>
  <c r="O22" i="4" s="1"/>
  <c r="L22" i="4"/>
  <c r="K22" i="4"/>
  <c r="N104" i="3"/>
  <c r="O104" i="3" s="1"/>
  <c r="P104" i="3" s="1"/>
  <c r="M22" i="3"/>
  <c r="N22" i="3" s="1"/>
  <c r="O22" i="3" s="1"/>
  <c r="K22" i="3"/>
  <c r="L22" i="3" s="1"/>
  <c r="W30" i="17"/>
  <c r="W29" i="17"/>
  <c r="M18" i="28"/>
  <c r="N18" i="28"/>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M106" i="28"/>
  <c r="O105" i="28"/>
  <c r="M105" i="28"/>
  <c r="O102" i="28"/>
  <c r="P102" i="28"/>
  <c r="O101" i="28"/>
  <c r="P101" i="28" s="1"/>
  <c r="M101" i="28"/>
  <c r="O100" i="28"/>
  <c r="M100" i="28"/>
  <c r="C100" i="28"/>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L24" i="28"/>
  <c r="N23" i="28"/>
  <c r="L23" i="28"/>
  <c r="N20" i="28"/>
  <c r="C17" i="28"/>
  <c r="C18" i="28"/>
  <c r="C19" i="28"/>
  <c r="C20" i="28"/>
  <c r="C21" i="28" s="1"/>
  <c r="C22" i="28" s="1"/>
  <c r="C23" i="28" s="1"/>
  <c r="C24" i="28" s="1"/>
  <c r="C25" i="28" s="1"/>
  <c r="C26" i="28" s="1"/>
  <c r="C27" i="28" s="1"/>
  <c r="C28" i="28" s="1"/>
  <c r="C29" i="28" s="1"/>
  <c r="C30" i="28" s="1"/>
  <c r="C31" i="28" s="1"/>
  <c r="C32" i="28" s="1"/>
  <c r="K11" i="28"/>
  <c r="I11" i="28"/>
  <c r="M17" i="27"/>
  <c r="N17" i="27" s="1"/>
  <c r="O17" i="27" s="1"/>
  <c r="K17" i="27"/>
  <c r="L17" i="27"/>
  <c r="M17" i="26"/>
  <c r="N17" i="26" s="1"/>
  <c r="K17" i="26"/>
  <c r="L17" i="26"/>
  <c r="M18" i="24"/>
  <c r="N18" i="24" s="1"/>
  <c r="O18" i="24" s="1"/>
  <c r="K18" i="24"/>
  <c r="L18" i="24" s="1"/>
  <c r="M17" i="24"/>
  <c r="N17" i="24" s="1"/>
  <c r="O17" i="24" s="1"/>
  <c r="K17" i="24"/>
  <c r="L17" i="24"/>
  <c r="N102" i="18"/>
  <c r="O102" i="18"/>
  <c r="L102" i="18"/>
  <c r="M102" i="18" s="1"/>
  <c r="P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M106" i="27"/>
  <c r="O105" i="27"/>
  <c r="M105" i="27"/>
  <c r="O102" i="27"/>
  <c r="O101" i="27"/>
  <c r="M101" i="27"/>
  <c r="O100" i="27"/>
  <c r="M100" i="27"/>
  <c r="P100" i="27" s="1"/>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L25" i="27"/>
  <c r="N24" i="27"/>
  <c r="L24" i="27"/>
  <c r="N23" i="27"/>
  <c r="L23" i="27"/>
  <c r="N20" i="27"/>
  <c r="C17" i="27"/>
  <c r="C18" i="27"/>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M106" i="26"/>
  <c r="O105" i="26"/>
  <c r="M105" i="26"/>
  <c r="O104" i="26"/>
  <c r="M104" i="26"/>
  <c r="O101" i="26"/>
  <c r="P101"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L25" i="26"/>
  <c r="N24" i="26"/>
  <c r="L24" i="26"/>
  <c r="N23" i="26"/>
  <c r="L23" i="26"/>
  <c r="N22" i="26"/>
  <c r="L22" i="26"/>
  <c r="N19" i="26"/>
  <c r="C18" i="26"/>
  <c r="C19" i="26"/>
  <c r="C20" i="26" s="1"/>
  <c r="C21" i="26" s="1"/>
  <c r="C22" i="26" s="1"/>
  <c r="C23" i="26" s="1"/>
  <c r="C24" i="26" s="1"/>
  <c r="C25" i="26" s="1"/>
  <c r="C26" i="26" s="1"/>
  <c r="C27" i="26" s="1"/>
  <c r="C28" i="26" s="1"/>
  <c r="C29" i="26" s="1"/>
  <c r="C30" i="26" s="1"/>
  <c r="C31" i="26" s="1"/>
  <c r="C32" i="26" s="1"/>
  <c r="C17" i="26"/>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M105" i="25"/>
  <c r="O104" i="25"/>
  <c r="M104" i="25"/>
  <c r="O103" i="25"/>
  <c r="M103" i="25"/>
  <c r="O100"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L24" i="25"/>
  <c r="N23" i="25"/>
  <c r="L23" i="25"/>
  <c r="N22" i="25"/>
  <c r="L22" i="25"/>
  <c r="N21" i="25"/>
  <c r="L21" i="25"/>
  <c r="N18" i="25"/>
  <c r="C18" i="25"/>
  <c r="C19" i="25" s="1"/>
  <c r="C20" i="25" s="1"/>
  <c r="C21" i="25" s="1"/>
  <c r="C22" i="25" s="1"/>
  <c r="C23" i="25" s="1"/>
  <c r="C24" i="25" s="1"/>
  <c r="C25" i="25" s="1"/>
  <c r="C26" i="25" s="1"/>
  <c r="C27" i="25" s="1"/>
  <c r="C28" i="25" s="1"/>
  <c r="C29" i="25" s="1"/>
  <c r="C30" i="25" s="1"/>
  <c r="C31" i="25" s="1"/>
  <c r="C32" i="25" s="1"/>
  <c r="C17" i="25"/>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M107" i="24"/>
  <c r="O106" i="24"/>
  <c r="M106" i="24"/>
  <c r="O105" i="24"/>
  <c r="M105" i="24"/>
  <c r="O102" i="24"/>
  <c r="O101" i="24"/>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L26" i="24"/>
  <c r="N25" i="24"/>
  <c r="L25" i="24"/>
  <c r="N24" i="24"/>
  <c r="L24" i="24"/>
  <c r="N23" i="24"/>
  <c r="L23" i="24"/>
  <c r="N20"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O17" i="23" s="1"/>
  <c r="K17" i="23"/>
  <c r="L17" i="23" s="1"/>
  <c r="M17" i="22"/>
  <c r="N17" i="22"/>
  <c r="O17" i="22" s="1"/>
  <c r="K17" i="22"/>
  <c r="L17" i="22" s="1"/>
  <c r="N101" i="21"/>
  <c r="O101" i="21"/>
  <c r="L101" i="21"/>
  <c r="M101" i="21" s="1"/>
  <c r="M18" i="21"/>
  <c r="N18" i="21" s="1"/>
  <c r="O18" i="21" s="1"/>
  <c r="K18" i="21"/>
  <c r="L18" i="21"/>
  <c r="N102" i="19"/>
  <c r="O102" i="19" s="1"/>
  <c r="L102" i="19"/>
  <c r="M102" i="19"/>
  <c r="M20" i="19"/>
  <c r="N20" i="19" s="1"/>
  <c r="K20" i="19"/>
  <c r="L20" i="19"/>
  <c r="M20" i="18"/>
  <c r="N20" i="18" s="1"/>
  <c r="K20" i="18"/>
  <c r="L20" i="18"/>
  <c r="N103" i="4"/>
  <c r="O103" i="4" s="1"/>
  <c r="L103" i="4"/>
  <c r="M103" i="4" s="1"/>
  <c r="M21" i="4"/>
  <c r="N21" i="4" s="1"/>
  <c r="K21" i="4"/>
  <c r="L21" i="4"/>
  <c r="N103" i="3"/>
  <c r="O103" i="3" s="1"/>
  <c r="L103" i="3"/>
  <c r="M103" i="3" s="1"/>
  <c r="M21" i="3"/>
  <c r="N21" i="3" s="1"/>
  <c r="K21" i="3"/>
  <c r="L21" i="3"/>
  <c r="D8" i="23"/>
  <c r="D8" i="22"/>
  <c r="D91" i="22" s="1"/>
  <c r="D8" i="21"/>
  <c r="D8" i="19"/>
  <c r="D8" i="18"/>
  <c r="D91" i="18" s="1"/>
  <c r="D8" i="4"/>
  <c r="D8" i="3"/>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M106" i="23"/>
  <c r="O105" i="23"/>
  <c r="M105" i="23"/>
  <c r="O104" i="23"/>
  <c r="M104" i="23"/>
  <c r="D97" i="23"/>
  <c r="L94" i="23"/>
  <c r="J94" i="23"/>
  <c r="D92" i="23"/>
  <c r="D91"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L25" i="23"/>
  <c r="N24" i="23"/>
  <c r="L24" i="23"/>
  <c r="N23" i="23"/>
  <c r="L23" i="23"/>
  <c r="N22" i="23"/>
  <c r="L22" i="23"/>
  <c r="N19"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M106" i="22"/>
  <c r="O105" i="22"/>
  <c r="M105" i="22"/>
  <c r="O104" i="22"/>
  <c r="M104"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L25" i="22"/>
  <c r="N24" i="22"/>
  <c r="L24" i="22"/>
  <c r="N23" i="22"/>
  <c r="L23" i="22"/>
  <c r="N22" i="22"/>
  <c r="L22" i="22"/>
  <c r="N19"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c r="O19" i="19" s="1"/>
  <c r="K19" i="19"/>
  <c r="L19" i="19" s="1"/>
  <c r="N101" i="18"/>
  <c r="O101" i="18" s="1"/>
  <c r="L101" i="18"/>
  <c r="M101" i="18" s="1"/>
  <c r="M19" i="18"/>
  <c r="N19" i="18" s="1"/>
  <c r="O19" i="18" s="1"/>
  <c r="K19" i="18"/>
  <c r="L19" i="18" s="1"/>
  <c r="N102" i="4"/>
  <c r="O102" i="4" s="1"/>
  <c r="P102" i="4" s="1"/>
  <c r="L102" i="4"/>
  <c r="M102" i="4" s="1"/>
  <c r="M20" i="4"/>
  <c r="N20" i="4" s="1"/>
  <c r="K20" i="4"/>
  <c r="L20" i="4" s="1"/>
  <c r="M20" i="3"/>
  <c r="N20" i="3" s="1"/>
  <c r="K20" i="3"/>
  <c r="L20" i="3" s="1"/>
  <c r="N102" i="3"/>
  <c r="O102" i="3" s="1"/>
  <c r="P102" i="3" s="1"/>
  <c r="L102" i="3"/>
  <c r="M102" i="3" s="1"/>
  <c r="F78" i="1"/>
  <c r="I12" i="20" s="1"/>
  <c r="I13" i="20" s="1"/>
  <c r="W23" i="17"/>
  <c r="W22" i="17"/>
  <c r="B21" i="18"/>
  <c r="B19" i="21"/>
  <c r="B21" i="3"/>
  <c r="M17" i="21"/>
  <c r="K17" i="21"/>
  <c r="M17" i="20"/>
  <c r="K17" i="20"/>
  <c r="L17" i="20"/>
  <c r="N100" i="19"/>
  <c r="L100" i="19"/>
  <c r="M18" i="19"/>
  <c r="K18" i="19"/>
  <c r="L18" i="19"/>
  <c r="N100" i="18"/>
  <c r="L100" i="18"/>
  <c r="M18" i="18"/>
  <c r="K18" i="18"/>
  <c r="L18" i="18" s="1"/>
  <c r="N101" i="4"/>
  <c r="L101" i="4"/>
  <c r="M19" i="4"/>
  <c r="K19" i="4"/>
  <c r="L19" i="4"/>
  <c r="N101" i="3"/>
  <c r="L101" i="3"/>
  <c r="M19" i="3"/>
  <c r="N19" i="3"/>
  <c r="O19" i="3" s="1"/>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L19" i="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c r="C19" i="19" s="1"/>
  <c r="C20" i="19" s="1"/>
  <c r="C21" i="19" s="1"/>
  <c r="C22" i="19" s="1"/>
  <c r="C23" i="19" s="1"/>
  <c r="C24" i="19" s="1"/>
  <c r="C25" i="19" s="1"/>
  <c r="C26" i="19" s="1"/>
  <c r="C27" i="19" s="1"/>
  <c r="C28" i="19" s="1"/>
  <c r="C29" i="19" s="1"/>
  <c r="C30" i="19" s="1"/>
  <c r="C31" i="19" s="1"/>
  <c r="C32" i="19" s="1"/>
  <c r="K17" i="19"/>
  <c r="L17" i="19"/>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L17" i="21"/>
  <c r="N17" i="21"/>
  <c r="O17" i="21"/>
  <c r="N20" i="21"/>
  <c r="L23" i="21"/>
  <c r="N23" i="21"/>
  <c r="L24" i="21"/>
  <c r="N24" i="21"/>
  <c r="L25" i="21"/>
  <c r="N25" i="21"/>
  <c r="L26" i="21"/>
  <c r="N26" i="21"/>
  <c r="L27" i="21"/>
  <c r="N27" i="21"/>
  <c r="L28" i="21"/>
  <c r="N28" i="21"/>
  <c r="L29" i="21"/>
  <c r="N29" i="21"/>
  <c r="L30" i="21"/>
  <c r="N30" i="21"/>
  <c r="L31" i="21"/>
  <c r="N31" i="21"/>
  <c r="L33" i="21"/>
  <c r="N33" i="21"/>
  <c r="O33" i="21" s="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O102" i="21"/>
  <c r="P102" i="21"/>
  <c r="M105" i="21"/>
  <c r="O105" i="21"/>
  <c r="M106" i="21"/>
  <c r="O106" i="21"/>
  <c r="M107" i="21"/>
  <c r="O107"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P1" i="20"/>
  <c r="P84" i="20" s="1"/>
  <c r="H3" i="20"/>
  <c r="K11" i="20"/>
  <c r="B17" i="20"/>
  <c r="N17" i="20"/>
  <c r="O17" i="20" s="1"/>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00" i="4"/>
  <c r="L100" i="4"/>
  <c r="M100" i="4"/>
  <c r="M18" i="4"/>
  <c r="N100" i="3"/>
  <c r="L100" i="3"/>
  <c r="M100" i="3" s="1"/>
  <c r="M18" i="3"/>
  <c r="C17" i="13"/>
  <c r="W21" i="17"/>
  <c r="W20" i="17"/>
  <c r="K17" i="3"/>
  <c r="K17" i="4"/>
  <c r="L17" i="4" s="1"/>
  <c r="O17" i="4" s="1"/>
  <c r="P1" i="19"/>
  <c r="P84" i="19" s="1"/>
  <c r="H3" i="19"/>
  <c r="K11" i="19"/>
  <c r="B17" i="19"/>
  <c r="I17" i="19"/>
  <c r="N17" i="19"/>
  <c r="O17" i="19"/>
  <c r="B18" i="19"/>
  <c r="N18" i="19"/>
  <c r="O18" i="19"/>
  <c r="N22" i="19"/>
  <c r="L25" i="19"/>
  <c r="N25" i="19"/>
  <c r="L26" i="19"/>
  <c r="N26" i="19"/>
  <c r="L27" i="19"/>
  <c r="N27" i="19"/>
  <c r="L28" i="19"/>
  <c r="N28" i="19"/>
  <c r="L29" i="19"/>
  <c r="N29" i="19"/>
  <c r="O29" i="19" s="1"/>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O50" i="19" s="1"/>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1" i="19"/>
  <c r="D92" i="19"/>
  <c r="J94" i="19"/>
  <c r="L94" i="19"/>
  <c r="D97" i="19"/>
  <c r="M100" i="19"/>
  <c r="P100" i="19"/>
  <c r="O100" i="19"/>
  <c r="M107" i="19"/>
  <c r="O107" i="19"/>
  <c r="M108" i="19"/>
  <c r="O108" i="19"/>
  <c r="M109" i="19"/>
  <c r="O109"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N17" i="18"/>
  <c r="O17" i="18" s="1"/>
  <c r="B18" i="18"/>
  <c r="N18" i="18"/>
  <c r="O18" i="18" s="1"/>
  <c r="N22" i="18"/>
  <c r="L25" i="18"/>
  <c r="N25" i="18"/>
  <c r="L26" i="18"/>
  <c r="N26" i="18"/>
  <c r="L27" i="18"/>
  <c r="N27" i="18"/>
  <c r="L28"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M100" i="18"/>
  <c r="O100" i="18"/>
  <c r="M107" i="18"/>
  <c r="O107" i="18"/>
  <c r="M108" i="18"/>
  <c r="O108" i="18"/>
  <c r="M109"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B101" i="4"/>
  <c r="B100" i="4"/>
  <c r="B19" i="4"/>
  <c r="B18" i="4"/>
  <c r="B19" i="3"/>
  <c r="B18" i="3"/>
  <c r="B100" i="3"/>
  <c r="M17" i="3"/>
  <c r="N17" i="3"/>
  <c r="O17" i="3" s="1"/>
  <c r="P1" i="13"/>
  <c r="P84" i="13" s="1"/>
  <c r="P1" i="4"/>
  <c r="P84" i="4" s="1"/>
  <c r="P1" i="3"/>
  <c r="P84" i="3" s="1"/>
  <c r="P12" i="17"/>
  <c r="R12" i="17"/>
  <c r="L12" i="17"/>
  <c r="W19" i="17"/>
  <c r="W18" i="17"/>
  <c r="G12" i="17"/>
  <c r="T12" i="17" s="1"/>
  <c r="H3" i="3"/>
  <c r="H3" i="4"/>
  <c r="D91" i="4"/>
  <c r="D91" i="3"/>
  <c r="O3" i="3"/>
  <c r="A1" i="2"/>
  <c r="F13" i="1"/>
  <c r="C37"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N17" i="4"/>
  <c r="I18" i="4"/>
  <c r="L18" i="4"/>
  <c r="N18" i="4"/>
  <c r="O18" i="4"/>
  <c r="N19" i="4"/>
  <c r="O19" i="4" s="1"/>
  <c r="L26" i="4"/>
  <c r="N26" i="4"/>
  <c r="L27" i="4"/>
  <c r="N27" i="4"/>
  <c r="L28" i="4"/>
  <c r="N28" i="4"/>
  <c r="L2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0" i="4"/>
  <c r="P100" i="4" s="1"/>
  <c r="M101" i="4"/>
  <c r="P101" i="4"/>
  <c r="O101" i="4"/>
  <c r="M108" i="4"/>
  <c r="O108" i="4"/>
  <c r="M109" i="4"/>
  <c r="O109" i="4"/>
  <c r="M110" i="4"/>
  <c r="O110" i="4"/>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L26" i="3"/>
  <c r="N26" i="3"/>
  <c r="L27" i="3"/>
  <c r="N27" i="3"/>
  <c r="L28" i="3"/>
  <c r="N28" i="3"/>
  <c r="L29"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0" i="3"/>
  <c r="M101" i="3"/>
  <c r="P101" i="3"/>
  <c r="O101" i="3"/>
  <c r="M108" i="3"/>
  <c r="O108" i="3"/>
  <c r="M109" i="3"/>
  <c r="O109" i="3"/>
  <c r="M110" i="3"/>
  <c r="O110"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E34" i="1"/>
  <c r="C38" i="1"/>
  <c r="C42" i="1"/>
  <c r="F43" i="1"/>
  <c r="C44" i="1"/>
  <c r="F45" i="1"/>
  <c r="C50" i="1"/>
  <c r="F62" i="1"/>
  <c r="C72" i="1"/>
  <c r="C86" i="1"/>
  <c r="S128" i="1"/>
  <c r="S129" i="1"/>
  <c r="S130" i="1"/>
  <c r="E31" i="2"/>
  <c r="D19" i="2"/>
  <c r="D18" i="2"/>
  <c r="D17" i="2"/>
  <c r="F13" i="2"/>
  <c r="J100" i="4"/>
  <c r="J100" i="3"/>
  <c r="E18" i="2"/>
  <c r="E17" i="2"/>
  <c r="E24" i="2"/>
  <c r="F64" i="2"/>
  <c r="C90" i="2"/>
  <c r="C89" i="2"/>
  <c r="C64" i="2"/>
  <c r="C31" i="2"/>
  <c r="C24" i="2"/>
  <c r="C12" i="2"/>
  <c r="P100" i="18"/>
  <c r="B101" i="3"/>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P102" i="19"/>
  <c r="O20" i="19"/>
  <c r="O20" i="18"/>
  <c r="B22" i="4"/>
  <c r="B23" i="3"/>
  <c r="C100" i="24"/>
  <c r="C101" i="24"/>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B23" i="4"/>
  <c r="B102" i="18"/>
  <c r="M17" i="28"/>
  <c r="N17" i="28" s="1"/>
  <c r="K17" i="28"/>
  <c r="L17" i="28" s="1"/>
  <c r="C100" i="27"/>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I13" i="17"/>
  <c r="E13" i="17"/>
  <c r="H3" i="17"/>
  <c r="T14" i="17"/>
  <c r="B105" i="4"/>
  <c r="B103" i="19"/>
  <c r="B22" i="18"/>
  <c r="P100" i="28"/>
  <c r="P101" i="27"/>
  <c r="P100" i="26"/>
  <c r="P100" i="24"/>
  <c r="B104" i="19"/>
  <c r="P105" i="4"/>
  <c r="O20" i="3"/>
  <c r="O21" i="3"/>
  <c r="O100" i="31"/>
  <c r="J105" i="4"/>
  <c r="O101" i="31"/>
  <c r="B104" i="18"/>
  <c r="O19" i="22"/>
  <c r="O19" i="23"/>
  <c r="O18" i="25"/>
  <c r="O20" i="24"/>
  <c r="O19" i="26"/>
  <c r="O22" i="18"/>
  <c r="O20" i="21"/>
  <c r="O20" i="28"/>
  <c r="O17" i="29"/>
  <c r="B20" i="26"/>
  <c r="O20" i="27"/>
  <c r="O23" i="3"/>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C45" i="34"/>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9" i="25"/>
  <c r="B103" i="28"/>
  <c r="B103" i="27"/>
  <c r="P102" i="27"/>
  <c r="P102" i="24"/>
  <c r="P100" i="25"/>
  <c r="B101" i="25"/>
  <c r="P101" i="23"/>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F17" i="13" s="1"/>
  <c r="D18" i="13" s="1"/>
  <c r="B18" i="13" s="1"/>
  <c r="C77" i="2"/>
  <c r="B102" i="22"/>
  <c r="A5" i="2"/>
  <c r="C50" i="2"/>
  <c r="C59" i="2"/>
  <c r="C28" i="2"/>
  <c r="C76" i="2"/>
  <c r="C14" i="2"/>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D95" i="4"/>
  <c r="I12" i="21"/>
  <c r="I13" i="21" s="1"/>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C101" i="37"/>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P100" i="29"/>
  <c r="L18" i="29"/>
  <c r="O18" i="29" s="1"/>
  <c r="P103" i="28"/>
  <c r="B22" i="28"/>
  <c r="P103" i="27"/>
  <c r="B22" i="27"/>
  <c r="P102" i="26"/>
  <c r="N20" i="26"/>
  <c r="O20" i="26"/>
  <c r="P101" i="24"/>
  <c r="B102" i="24"/>
  <c r="B104" i="24"/>
  <c r="N21" i="24"/>
  <c r="O21" i="24"/>
  <c r="B102" i="25"/>
  <c r="O19" i="25"/>
  <c r="B21" i="22"/>
  <c r="B22" i="21"/>
  <c r="P105" i="19"/>
  <c r="P106" i="4"/>
  <c r="I17" i="35"/>
  <c r="I21" i="28"/>
  <c r="B106" i="3"/>
  <c r="B107" i="4"/>
  <c r="B105" i="18"/>
  <c r="J106" i="4"/>
  <c r="J100" i="29"/>
  <c r="J106" i="3"/>
  <c r="J102" i="23"/>
  <c r="J102" i="22"/>
  <c r="J105" i="18"/>
  <c r="J97" i="13"/>
  <c r="J97" i="20"/>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B107" i="3"/>
  <c r="O72" i="13"/>
  <c r="D17" i="1"/>
  <c r="E17" i="1"/>
  <c r="I12" i="26"/>
  <c r="I13" i="26"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59" i="1"/>
  <c r="I10" i="18"/>
  <c r="I10" i="22"/>
  <c r="D93" i="22" s="1"/>
  <c r="D104" i="22" s="1"/>
  <c r="B104" i="22" s="1"/>
  <c r="I10" i="26"/>
  <c r="I10" i="29"/>
  <c r="D95" i="29" s="1"/>
  <c r="E100" i="13"/>
  <c r="B100" i="34"/>
  <c r="B103" i="22"/>
  <c r="E18" i="1"/>
  <c r="E38" i="17"/>
  <c r="B100" i="35"/>
  <c r="J95" i="27"/>
  <c r="J96" i="27" s="1"/>
  <c r="C128" i="24"/>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4" i="18"/>
  <c r="B21" i="26"/>
  <c r="B20" i="25"/>
  <c r="D94" i="18"/>
  <c r="D93" i="18"/>
  <c r="D107" i="18" s="1"/>
  <c r="B107" i="18" s="1"/>
  <c r="B18" i="35"/>
  <c r="D95" i="18"/>
  <c r="O20" i="4"/>
  <c r="P100" i="21"/>
  <c r="P38" i="17"/>
  <c r="P101" i="18"/>
  <c r="P103" i="3"/>
  <c r="P103" i="4"/>
  <c r="P101" i="21"/>
  <c r="O21" i="4"/>
  <c r="O17" i="26"/>
  <c r="O18" i="28"/>
  <c r="O19" i="21"/>
  <c r="P100" i="22"/>
  <c r="O19" i="24"/>
  <c r="O17" i="25"/>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O24" i="4"/>
  <c r="P103" i="21"/>
  <c r="O20" i="22"/>
  <c r="O20" i="23"/>
  <c r="C100" i="18"/>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B106" i="18"/>
  <c r="D103" i="25"/>
  <c r="D101" i="31"/>
  <c r="D104" i="26"/>
  <c r="D105" i="28"/>
  <c r="D101" i="34"/>
  <c r="D102" i="29"/>
  <c r="D105" i="24"/>
  <c r="D105" i="21"/>
  <c r="B105" i="21"/>
  <c r="D101" i="35"/>
  <c r="B101" i="35" s="1"/>
  <c r="D107" i="19"/>
  <c r="B107" i="19" s="1"/>
  <c r="D105" i="27"/>
  <c r="B105" i="27" s="1"/>
  <c r="D108" i="4"/>
  <c r="B108" i="4" s="1"/>
  <c r="D26" i="3"/>
  <c r="B26" i="3" s="1"/>
  <c r="D23" i="27"/>
  <c r="D25" i="19"/>
  <c r="B25" i="19" s="1"/>
  <c r="D23" i="28"/>
  <c r="B101" i="34"/>
  <c r="B105" i="28"/>
  <c r="D19" i="34"/>
  <c r="D22" i="22"/>
  <c r="B22" i="22" s="1"/>
  <c r="D25" i="18"/>
  <c r="B25" i="18" s="1"/>
  <c r="J100" i="31"/>
  <c r="D21" i="25"/>
  <c r="D19" i="31"/>
  <c r="D23" i="21"/>
  <c r="B23" i="21" s="1"/>
  <c r="D23" i="24"/>
  <c r="B23" i="24" s="1"/>
  <c r="D22" i="23"/>
  <c r="B22" i="23" s="1"/>
  <c r="D22" i="26"/>
  <c r="B22" i="26" s="1"/>
  <c r="D26" i="4"/>
  <c r="B26" i="4" s="1"/>
  <c r="B104" i="26"/>
  <c r="J102" i="25"/>
  <c r="D20" i="29"/>
  <c r="J104" i="24"/>
  <c r="J100" i="35"/>
  <c r="J107" i="4"/>
  <c r="I18" i="34"/>
  <c r="B23" i="28"/>
  <c r="I19" i="29"/>
  <c r="J101" i="29"/>
  <c r="I18" i="31"/>
  <c r="I25" i="4"/>
  <c r="J103" i="22"/>
  <c r="I17" i="37"/>
  <c r="J104" i="21"/>
  <c r="I25" i="3"/>
  <c r="J100" i="34"/>
  <c r="J107" i="3"/>
  <c r="J106" i="18"/>
  <c r="C100" i="38"/>
  <c r="P100" i="35"/>
  <c r="O46" i="35"/>
  <c r="D19" i="35"/>
  <c r="O17" i="35"/>
  <c r="P100" i="34"/>
  <c r="B101" i="31"/>
  <c r="P100" i="31"/>
  <c r="P101" i="29"/>
  <c r="P103" i="26"/>
  <c r="B105" i="24"/>
  <c r="B103" i="25"/>
  <c r="I18" i="35"/>
  <c r="D93" i="3"/>
  <c r="D108" i="3" s="1"/>
  <c r="B108" i="3" s="1"/>
  <c r="D93" i="23"/>
  <c r="D104" i="23" s="1"/>
  <c r="D95" i="23"/>
  <c r="D94" i="23"/>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N6" i="34"/>
  <c r="B19" i="34"/>
  <c r="O64"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F45" i="17"/>
  <c r="O45" i="17"/>
  <c r="N45" i="17"/>
  <c r="C45" i="17"/>
  <c r="E45" i="17"/>
  <c r="O36" i="35" l="1"/>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6" i="1"/>
  <c r="F50" i="1" s="1"/>
  <c r="N5" i="34"/>
  <c r="N7" i="34" s="1"/>
  <c r="D95" i="20"/>
  <c r="E100" i="20"/>
  <c r="F100" i="20" s="1"/>
  <c r="O22" i="23"/>
  <c r="O30" i="23"/>
  <c r="O52" i="23"/>
  <c r="O54" i="23"/>
  <c r="O66" i="23"/>
  <c r="O28" i="24"/>
  <c r="O62" i="24"/>
  <c r="O72" i="24"/>
  <c r="O24" i="25"/>
  <c r="O26" i="25"/>
  <c r="O28" i="25"/>
  <c r="O30" i="25"/>
  <c r="O36" i="25"/>
  <c r="O38" i="25"/>
  <c r="O44" i="25"/>
  <c r="O64" i="25"/>
  <c r="O66" i="25"/>
  <c r="O68" i="25"/>
  <c r="O70" i="25"/>
  <c r="O23" i="26"/>
  <c r="O25" i="26"/>
  <c r="O41" i="26"/>
  <c r="O43" i="26"/>
  <c r="O53" i="26"/>
  <c r="O48" i="27"/>
  <c r="O21" i="37"/>
  <c r="O27" i="37"/>
  <c r="O73" i="37"/>
  <c r="O69" i="38"/>
  <c r="C48" i="1"/>
  <c r="C71" i="1"/>
  <c r="C74"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4" i="1"/>
  <c r="C28" i="1"/>
  <c r="C77" i="1"/>
  <c r="C57" i="1"/>
  <c r="D94" i="25"/>
  <c r="F14" i="1"/>
  <c r="E19" i="1" s="1"/>
  <c r="F19" i="1" s="1"/>
  <c r="C76" i="1"/>
  <c r="C79" i="1"/>
  <c r="C8" i="1"/>
  <c r="F18" i="1"/>
  <c r="C73" i="1"/>
  <c r="C53" i="1"/>
  <c r="C14" i="1"/>
  <c r="C22" i="1"/>
  <c r="C60" i="1"/>
  <c r="P101" i="37"/>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0" i="35"/>
  <c r="O24" i="35"/>
  <c r="O26" i="35"/>
  <c r="O28" i="35"/>
  <c r="J38" i="17"/>
  <c r="P119" i="35"/>
  <c r="P123" i="35"/>
  <c r="P127" i="35"/>
  <c r="P131" i="35"/>
  <c r="P115" i="35"/>
  <c r="P103" i="35"/>
  <c r="P107" i="35"/>
  <c r="P111" i="35"/>
  <c r="P110" i="38"/>
  <c r="P112" i="31"/>
  <c r="P102" i="37"/>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3" i="21"/>
  <c r="O25" i="22"/>
  <c r="O27" i="22"/>
  <c r="O48" i="22"/>
  <c r="O50" i="22"/>
  <c r="O62" i="22"/>
  <c r="O64" i="22"/>
  <c r="O66" i="22"/>
  <c r="O27" i="28"/>
  <c r="O39" i="28"/>
  <c r="O41" i="28"/>
  <c r="O45" i="28"/>
  <c r="O47" i="28"/>
  <c r="O51" i="28"/>
  <c r="O53" i="28"/>
  <c r="O57" i="28"/>
  <c r="O61" i="28"/>
  <c r="O19" i="34"/>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F84" i="1"/>
  <c r="F85" i="1" s="1"/>
  <c r="F87" i="1" s="1"/>
  <c r="F88" i="1" s="1"/>
  <c r="F89" i="1" s="1"/>
  <c r="D13" i="3" s="1"/>
  <c r="O26" i="38"/>
  <c r="O28" i="38"/>
  <c r="O30" i="38"/>
  <c r="O40" i="38"/>
  <c r="O44" i="38"/>
  <c r="O48" i="38"/>
  <c r="O50" i="38"/>
  <c r="O52" i="38"/>
  <c r="O54" i="38"/>
  <c r="O56" i="38"/>
  <c r="O58" i="38"/>
  <c r="O60" i="38"/>
  <c r="O62" i="38"/>
  <c r="O64" i="38"/>
  <c r="O68" i="38"/>
  <c r="O70" i="38"/>
  <c r="O72" i="38"/>
  <c r="P101" i="31"/>
  <c r="P116" i="21"/>
  <c r="P107" i="21"/>
  <c r="P131" i="31"/>
  <c r="O72" i="3"/>
  <c r="O66" i="3"/>
  <c r="O64" i="3"/>
  <c r="O56" i="3"/>
  <c r="O52" i="3"/>
  <c r="O29" i="3"/>
  <c r="O27"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03" i="29"/>
  <c r="P120" i="31"/>
  <c r="P127" i="37"/>
  <c r="P115" i="3"/>
  <c r="P111" i="3"/>
  <c r="P122" i="31"/>
  <c r="P120" i="13"/>
  <c r="P101" i="34"/>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3" i="23"/>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7"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28" i="4"/>
  <c r="O26" i="4"/>
  <c r="O73" i="18"/>
  <c r="O61" i="18"/>
  <c r="O45" i="18"/>
  <c r="O72" i="20"/>
  <c r="O58" i="20"/>
  <c r="O56" i="20"/>
  <c r="O52" i="20"/>
  <c r="O73" i="21"/>
  <c r="O69" i="21"/>
  <c r="O65" i="21"/>
  <c r="O55" i="21"/>
  <c r="O49" i="21"/>
  <c r="O47" i="21"/>
  <c r="O45" i="21"/>
  <c r="O41" i="21"/>
  <c r="O39" i="21"/>
  <c r="O35" i="21"/>
  <c r="O22" i="22"/>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19" i="35"/>
  <c r="O27" i="35"/>
  <c r="O37" i="35"/>
  <c r="O71" i="35"/>
  <c r="O66" i="38"/>
  <c r="N7" i="38"/>
  <c r="O71" i="3"/>
  <c r="O69" i="3"/>
  <c r="O67" i="3"/>
  <c r="O63" i="3"/>
  <c r="O61" i="3"/>
  <c r="O59" i="3"/>
  <c r="O47" i="3"/>
  <c r="O30" i="3"/>
  <c r="O72" i="19"/>
  <c r="O26" i="31"/>
  <c r="O36" i="31"/>
  <c r="O49" i="31"/>
  <c r="O61" i="31"/>
  <c r="O59" i="35"/>
  <c r="O24" i="38"/>
  <c r="O36" i="38"/>
  <c r="O26" i="18"/>
  <c r="O27" i="19"/>
  <c r="O25" i="19"/>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25" i="18"/>
  <c r="O61" i="21"/>
  <c r="O59" i="21"/>
  <c r="O51" i="21"/>
  <c r="O30" i="21"/>
  <c r="O24" i="21"/>
  <c r="O24" i="22"/>
  <c r="O26" i="22"/>
  <c r="O28" i="22"/>
  <c r="O63" i="22"/>
  <c r="O73" i="22"/>
  <c r="O47" i="24"/>
  <c r="O51" i="24"/>
  <c r="O73" i="24"/>
  <c r="O63" i="25"/>
  <c r="O36" i="26"/>
  <c r="O68" i="26"/>
  <c r="O70" i="26"/>
  <c r="O26" i="28"/>
  <c r="O42" i="28"/>
  <c r="O44" i="28"/>
  <c r="O50" i="28"/>
  <c r="O56" i="31"/>
  <c r="O62" i="31"/>
  <c r="O70" i="31"/>
  <c r="O33" i="18"/>
  <c r="O31" i="18"/>
  <c r="O32" i="23"/>
  <c r="O32" i="29"/>
  <c r="O18" i="37"/>
  <c r="O20" i="37"/>
  <c r="O22" i="37"/>
  <c r="O24" i="37"/>
  <c r="O26" i="37"/>
  <c r="O28" i="37"/>
  <c r="O63" i="24"/>
  <c r="O69" i="24"/>
  <c r="O21" i="25"/>
  <c r="O29" i="25"/>
  <c r="O35" i="25"/>
  <c r="O39" i="25"/>
  <c r="O47" i="25"/>
  <c r="O69" i="25"/>
  <c r="O28" i="26"/>
  <c r="O40" i="26"/>
  <c r="O48" i="28"/>
  <c r="O62" i="28"/>
  <c r="O20" i="38"/>
  <c r="O58" i="4"/>
  <c r="O54" i="4"/>
  <c r="O34" i="4"/>
  <c r="O31" i="4"/>
  <c r="O27" i="4"/>
  <c r="O46" i="21"/>
  <c r="O44" i="21"/>
  <c r="O42" i="21"/>
  <c r="O23" i="22"/>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28"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19" i="31"/>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3" i="24"/>
  <c r="O25" i="24"/>
  <c r="O22" i="25"/>
  <c r="O34" i="25"/>
  <c r="O42" i="25"/>
  <c r="O56" i="25"/>
  <c r="O58" i="25"/>
  <c r="O27" i="26"/>
  <c r="O29" i="26"/>
  <c r="O23" i="27"/>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26" i="3"/>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0" i="34"/>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E18" i="13"/>
  <c r="F18" i="13" s="1"/>
  <c r="I12" i="38"/>
  <c r="I13" i="38" s="1"/>
  <c r="I12" i="37"/>
  <c r="I13" i="37" s="1"/>
  <c r="I12" i="28"/>
  <c r="I13" i="28" s="1"/>
  <c r="I12" i="31"/>
  <c r="I13" i="31" s="1"/>
  <c r="I12" i="24"/>
  <c r="I12" i="3"/>
  <c r="I13" i="3" s="1"/>
  <c r="I12" i="27"/>
  <c r="I13" i="27" s="1"/>
  <c r="I12" i="22"/>
  <c r="I13" i="22" s="1"/>
  <c r="I12" i="35"/>
  <c r="I13" i="35" s="1"/>
  <c r="I12" i="25"/>
  <c r="I13" i="25" s="1"/>
  <c r="I12" i="4"/>
  <c r="I13" i="4" s="1"/>
  <c r="I12" i="23"/>
  <c r="I13" i="23" s="1"/>
  <c r="I12" i="34"/>
  <c r="I13" i="34" s="1"/>
  <c r="I12" i="29"/>
  <c r="I13" i="29" s="1"/>
  <c r="I12" i="18"/>
  <c r="I13" i="18" s="1"/>
  <c r="I12" i="19"/>
  <c r="I13" i="19" s="1"/>
  <c r="I12" i="13"/>
  <c r="N5" i="37"/>
  <c r="N6" i="37"/>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22" i="26"/>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24" i="27"/>
  <c r="O57" i="27"/>
  <c r="O72" i="27"/>
  <c r="O43" i="28"/>
  <c r="O52" i="28"/>
  <c r="O56" i="28"/>
  <c r="O65" i="28"/>
  <c r="O67" i="28"/>
  <c r="O20" i="29"/>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D100" i="38"/>
  <c r="B100" i="38" s="1"/>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F100" i="38"/>
  <c r="G100" i="38" s="1"/>
  <c r="H100" i="38" s="1"/>
  <c r="B19" i="35"/>
  <c r="B21" i="25"/>
  <c r="B18" i="37"/>
  <c r="B23" i="27"/>
  <c r="B19" i="31"/>
  <c r="D13" i="26"/>
  <c r="D94" i="22"/>
  <c r="C100" i="22" s="1"/>
  <c r="D95" i="22"/>
  <c r="P100" i="3"/>
  <c r="D100" i="20"/>
  <c r="B100" i="20" s="1"/>
  <c r="O17" i="28"/>
  <c r="P101" i="13"/>
  <c r="P120" i="19"/>
  <c r="P108" i="19"/>
  <c r="P103" i="20"/>
  <c r="P146" i="21"/>
  <c r="P142" i="21"/>
  <c r="P104" i="13"/>
  <c r="A9" i="17"/>
  <c r="P131" i="18"/>
  <c r="P127" i="18"/>
  <c r="P119" i="18"/>
  <c r="P115" i="18"/>
  <c r="P107" i="18"/>
  <c r="P155" i="19"/>
  <c r="P151" i="19"/>
  <c r="P147" i="19"/>
  <c r="P143" i="19"/>
  <c r="P139" i="19"/>
  <c r="P135" i="19"/>
  <c r="P131" i="19"/>
  <c r="P115" i="19"/>
  <c r="P151" i="20"/>
  <c r="P115" i="20"/>
  <c r="P114" i="18"/>
  <c r="P110" i="18"/>
  <c r="P150" i="19"/>
  <c r="P146" i="19"/>
  <c r="P142" i="19"/>
  <c r="P130" i="19"/>
  <c r="P106" i="20"/>
  <c r="P133" i="21"/>
  <c r="P125" i="21"/>
  <c r="P10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05" i="2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P110" i="28"/>
  <c r="P130" i="31"/>
  <c r="P134" i="31"/>
  <c r="P146" i="31"/>
  <c r="P128" i="37"/>
  <c r="P101" i="38"/>
  <c r="P147" i="31"/>
  <c r="P155" i="3"/>
  <c r="P143" i="3"/>
  <c r="P139" i="3"/>
  <c r="P135" i="3"/>
  <c r="P131" i="3"/>
  <c r="P107" i="19"/>
  <c r="P154" i="20"/>
  <c r="P142" i="20"/>
  <c r="P138" i="20"/>
  <c r="P134" i="20"/>
  <c r="P130" i="20"/>
  <c r="P126" i="20"/>
  <c r="P122" i="20"/>
  <c r="P118" i="20"/>
  <c r="P114" i="20"/>
  <c r="P110" i="20"/>
  <c r="P122" i="21"/>
  <c r="P118" i="21"/>
  <c r="P106" i="21"/>
  <c r="P104" i="22"/>
  <c r="P108" i="22"/>
  <c r="P112" i="22"/>
  <c r="P116" i="23"/>
  <c r="P120" i="23"/>
  <c r="P124" i="23"/>
  <c r="P128" i="23"/>
  <c r="P105" i="24"/>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04" i="26"/>
  <c r="P126" i="31"/>
  <c r="P150" i="31"/>
  <c r="P154" i="31"/>
  <c r="P101" i="35"/>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08" i="3"/>
  <c r="P155" i="4"/>
  <c r="P151" i="4"/>
  <c r="P147" i="4"/>
  <c r="P143" i="4"/>
  <c r="P139" i="4"/>
  <c r="P135" i="4"/>
  <c r="P131" i="4"/>
  <c r="P127" i="4"/>
  <c r="P123" i="4"/>
  <c r="P119" i="4"/>
  <c r="P115" i="4"/>
  <c r="P111" i="4"/>
  <c r="P147" i="20"/>
  <c r="P143" i="20"/>
  <c r="P127" i="21"/>
  <c r="P115" i="21"/>
  <c r="P106" i="26"/>
  <c r="P118" i="26"/>
  <c r="P108" i="27"/>
  <c r="P126" i="29"/>
  <c r="P119" i="37"/>
  <c r="P116" i="4"/>
  <c r="P108" i="4"/>
  <c r="P152" i="19"/>
  <c r="P148" i="19"/>
  <c r="P140" i="19"/>
  <c r="P136" i="19"/>
  <c r="P128" i="19"/>
  <c r="P116" i="19"/>
  <c r="P144" i="20"/>
  <c r="P106" i="22"/>
  <c r="P114" i="23"/>
  <c r="P122" i="23"/>
  <c r="P126" i="23"/>
  <c r="P130" i="23"/>
  <c r="P110" i="24"/>
  <c r="P109" i="26"/>
  <c r="P113" i="26"/>
  <c r="P125" i="26"/>
  <c r="P131" i="28"/>
  <c r="P107" i="31"/>
  <c r="P111" i="31"/>
  <c r="P116" i="37"/>
  <c r="P120" i="37"/>
  <c r="P100" i="38"/>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05" i="27"/>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02" i="29"/>
  <c r="P115" i="37"/>
  <c r="P126" i="3"/>
  <c r="P122" i="3"/>
  <c r="P114" i="3"/>
  <c r="P153" i="4"/>
  <c r="P145" i="4"/>
  <c r="P141" i="4"/>
  <c r="P137" i="4"/>
  <c r="P133" i="4"/>
  <c r="P125" i="4"/>
  <c r="P109" i="4"/>
  <c r="P151" i="18"/>
  <c r="P147" i="18"/>
  <c r="P143" i="18"/>
  <c r="P139" i="18"/>
  <c r="P135" i="18"/>
  <c r="P138" i="19"/>
  <c r="P118" i="19"/>
  <c r="P121" i="21"/>
  <c r="P128" i="22"/>
  <c r="P104" i="23"/>
  <c r="P108" i="23"/>
  <c r="P112" i="23"/>
  <c r="P105" i="26"/>
  <c r="P126" i="26"/>
  <c r="P111" i="28"/>
  <c r="P115" i="28"/>
  <c r="P111" i="34"/>
  <c r="P115" i="34"/>
  <c r="P127" i="34"/>
  <c r="P131" i="34"/>
  <c r="P124" i="35"/>
  <c r="P128" i="35"/>
  <c r="P104" i="38"/>
  <c r="P117" i="19"/>
  <c r="P116" i="22"/>
  <c r="P120" i="22"/>
  <c r="P124" i="22"/>
  <c r="P117" i="27"/>
  <c r="P124" i="28"/>
  <c r="P100" i="37"/>
  <c r="P104" i="37"/>
  <c r="P108" i="37"/>
  <c r="P112" i="37"/>
  <c r="P107" i="38"/>
  <c r="P111" i="38"/>
  <c r="J96" i="38"/>
  <c r="F18" i="2"/>
  <c r="P121" i="28"/>
  <c r="P145" i="18"/>
  <c r="P137" i="18"/>
  <c r="P133" i="18"/>
  <c r="P113" i="22"/>
  <c r="P103" i="25"/>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N5" i="35"/>
  <c r="D95" i="35"/>
  <c r="D94" i="35"/>
  <c r="N6" i="35"/>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28" i="34"/>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P107" i="22"/>
  <c r="P118" i="23"/>
  <c r="C100" i="25"/>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C34" i="17"/>
  <c r="C30" i="17"/>
  <c r="C23" i="17"/>
  <c r="C21" i="17"/>
  <c r="C32" i="17"/>
  <c r="C36" i="17"/>
  <c r="C35" i="17"/>
  <c r="C22" i="17"/>
  <c r="C25" i="17"/>
  <c r="C18" i="17"/>
  <c r="C27" i="17"/>
  <c r="C20" i="17"/>
  <c r="C29" i="17"/>
  <c r="C24" i="17"/>
  <c r="C19" i="17"/>
  <c r="C26" i="17"/>
  <c r="C28" i="17"/>
  <c r="C33" i="17"/>
  <c r="C31" i="17"/>
  <c r="F33" i="17"/>
  <c r="K21" i="17" l="1"/>
  <c r="K20" i="17"/>
  <c r="K32" i="17"/>
  <c r="K35" i="17"/>
  <c r="K18" i="17"/>
  <c r="K24" i="17"/>
  <c r="K33" i="17"/>
  <c r="K19" i="17"/>
  <c r="K30" i="17"/>
  <c r="K25" i="17"/>
  <c r="K34" i="17"/>
  <c r="K28" i="17"/>
  <c r="K31" i="17"/>
  <c r="K26" i="17"/>
  <c r="K27" i="17"/>
  <c r="K29" i="17"/>
  <c r="K36" i="17"/>
  <c r="K23" i="17"/>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D13" i="31"/>
  <c r="D13" i="34"/>
  <c r="I14" i="34" s="1"/>
  <c r="D13" i="21"/>
  <c r="C33" i="21" s="1"/>
  <c r="C34" i="21" s="1"/>
  <c r="C35" i="21" s="1"/>
  <c r="C36" i="21" s="1"/>
  <c r="C37" i="21" s="1"/>
  <c r="C38" i="21" s="1"/>
  <c r="C39" i="21" s="1"/>
  <c r="C40" i="21" s="1"/>
  <c r="C41" i="21" s="1"/>
  <c r="C42" i="21" s="1"/>
  <c r="C43" i="21" s="1"/>
  <c r="C44" i="21" s="1"/>
  <c r="C45" i="21" s="1"/>
  <c r="C33" i="3"/>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I14" i="3"/>
  <c r="D13" i="25"/>
  <c r="I14" i="25" s="1"/>
  <c r="D13" i="27"/>
  <c r="I14" i="27" s="1"/>
  <c r="D13" i="19"/>
  <c r="C33" i="19" s="1"/>
  <c r="C34" i="19" s="1"/>
  <c r="C35" i="19" s="1"/>
  <c r="C36" i="19" s="1"/>
  <c r="C37" i="19" s="1"/>
  <c r="C38" i="19" s="1"/>
  <c r="C39" i="19" s="1"/>
  <c r="C40" i="19" s="1"/>
  <c r="C41" i="19" s="1"/>
  <c r="C42" i="19" s="1"/>
  <c r="C43" i="19" s="1"/>
  <c r="C44" i="19" s="1"/>
  <c r="C45" i="19" s="1"/>
  <c r="D13" i="22"/>
  <c r="D13" i="29"/>
  <c r="C33" i="29" s="1"/>
  <c r="C34" i="29" s="1"/>
  <c r="C35" i="29" s="1"/>
  <c r="C36" i="29" s="1"/>
  <c r="C37" i="29" s="1"/>
  <c r="C38" i="29" s="1"/>
  <c r="C39" i="29" s="1"/>
  <c r="C40" i="29" s="1"/>
  <c r="C41" i="29" s="1"/>
  <c r="C42" i="29" s="1"/>
  <c r="C43" i="29" s="1"/>
  <c r="C44" i="29" s="1"/>
  <c r="C45" i="29" s="1"/>
  <c r="D13" i="35"/>
  <c r="C73" i="35" s="1"/>
  <c r="D13" i="18"/>
  <c r="C33" i="18" s="1"/>
  <c r="C34" i="18" s="1"/>
  <c r="C35" i="18" s="1"/>
  <c r="C36" i="18" s="1"/>
  <c r="C37" i="18" s="1"/>
  <c r="C38" i="18" s="1"/>
  <c r="C39" i="18" s="1"/>
  <c r="C40" i="18" s="1"/>
  <c r="C41" i="18" s="1"/>
  <c r="C42" i="18" s="1"/>
  <c r="C43" i="18" s="1"/>
  <c r="C44" i="18" s="1"/>
  <c r="C45" i="18" s="1"/>
  <c r="D13" i="4"/>
  <c r="D13" i="24"/>
  <c r="D13" i="28"/>
  <c r="I14" i="28" s="1"/>
  <c r="D13" i="20"/>
  <c r="D13" i="13"/>
  <c r="C73" i="13" s="1"/>
  <c r="D13" i="37"/>
  <c r="D13" i="38"/>
  <c r="C73" i="38" s="1"/>
  <c r="D13" i="23"/>
  <c r="D101" i="38"/>
  <c r="E101" i="38"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N7" i="37"/>
  <c r="F20" i="1"/>
  <c r="E25" i="1" s="1"/>
  <c r="E26" i="1" s="1"/>
  <c r="E30" i="1" s="1"/>
  <c r="I13" i="13"/>
  <c r="G17" i="13"/>
  <c r="I13" i="24"/>
  <c r="D19" i="13"/>
  <c r="G18" i="13"/>
  <c r="D96" i="27"/>
  <c r="J97" i="27" s="1"/>
  <c r="E105" i="27" s="1"/>
  <c r="D96" i="24"/>
  <c r="J97" i="24" s="1"/>
  <c r="E105" i="24" s="1"/>
  <c r="D96" i="29"/>
  <c r="J97" i="29" s="1"/>
  <c r="E102" i="29" s="1"/>
  <c r="C33" i="25"/>
  <c r="C34" i="25" s="1"/>
  <c r="C35" i="25" s="1"/>
  <c r="C36" i="25" s="1"/>
  <c r="C37" i="25" s="1"/>
  <c r="C38" i="25" s="1"/>
  <c r="C39" i="25" s="1"/>
  <c r="C40" i="25" s="1"/>
  <c r="C41" i="25" s="1"/>
  <c r="I14" i="29"/>
  <c r="I14" i="37"/>
  <c r="C73" i="37"/>
  <c r="I14" i="31"/>
  <c r="C33" i="31"/>
  <c r="C34" i="31" s="1"/>
  <c r="C35" i="31" s="1"/>
  <c r="C36" i="31" s="1"/>
  <c r="C37" i="31" s="1"/>
  <c r="C38" i="31" s="1"/>
  <c r="C39" i="31" s="1"/>
  <c r="C40" i="31" s="1"/>
  <c r="C41" i="31" s="1"/>
  <c r="C42" i="31" s="1"/>
  <c r="C43" i="31" s="1"/>
  <c r="C44" i="31" s="1"/>
  <c r="C45" i="31" s="1"/>
  <c r="I14" i="21"/>
  <c r="I14" i="22"/>
  <c r="C33" i="22"/>
  <c r="C34" i="22" s="1"/>
  <c r="C35" i="22" s="1"/>
  <c r="C36" i="22" s="1"/>
  <c r="C37" i="22" s="1"/>
  <c r="C38" i="22" s="1"/>
  <c r="C39" i="22" s="1"/>
  <c r="C40" i="22" s="1"/>
  <c r="C41" i="22" s="1"/>
  <c r="C42" i="22" s="1"/>
  <c r="C43" i="22" s="1"/>
  <c r="C44" i="22" s="1"/>
  <c r="C45" i="22" s="1"/>
  <c r="I14" i="4"/>
  <c r="C33" i="4"/>
  <c r="C34" i="4" s="1"/>
  <c r="C35" i="4" s="1"/>
  <c r="C36" i="4" s="1"/>
  <c r="C37" i="4" s="1"/>
  <c r="C38" i="4" s="1"/>
  <c r="C39" i="4" s="1"/>
  <c r="C40" i="4" s="1"/>
  <c r="C41" i="4" s="1"/>
  <c r="C42" i="4" s="1"/>
  <c r="C43" i="4" s="1"/>
  <c r="C44" i="4" s="1"/>
  <c r="C45" i="4" s="1"/>
  <c r="E26" i="3"/>
  <c r="I14" i="26"/>
  <c r="C33" i="26"/>
  <c r="C34" i="26" s="1"/>
  <c r="C35" i="26" s="1"/>
  <c r="C36" i="26" s="1"/>
  <c r="C37" i="26" s="1"/>
  <c r="C38" i="26" s="1"/>
  <c r="C39" i="26" s="1"/>
  <c r="C40" i="26" s="1"/>
  <c r="C41" i="26" s="1"/>
  <c r="C42" i="26" s="1"/>
  <c r="C43" i="26" s="1"/>
  <c r="C44" i="26" s="1"/>
  <c r="C45" i="26" s="1"/>
  <c r="C73" i="34"/>
  <c r="D96" i="23"/>
  <c r="J97" i="23" s="1"/>
  <c r="E104" i="23" s="1"/>
  <c r="F104" i="23" s="1"/>
  <c r="D105" i="23" s="1"/>
  <c r="D96" i="21"/>
  <c r="J97" i="21" s="1"/>
  <c r="E105" i="21" s="1"/>
  <c r="D96" i="18"/>
  <c r="J97" i="18" s="1"/>
  <c r="D96" i="20"/>
  <c r="D96" i="38"/>
  <c r="D96" i="13"/>
  <c r="D96" i="34"/>
  <c r="J97" i="34" s="1"/>
  <c r="E101" i="34" s="1"/>
  <c r="D96" i="22"/>
  <c r="J97" i="22" s="1"/>
  <c r="E104" i="22" s="1"/>
  <c r="F104" i="22" s="1"/>
  <c r="D96" i="3"/>
  <c r="J97" i="3" s="1"/>
  <c r="E108" i="3" s="1"/>
  <c r="F108" i="3" s="1"/>
  <c r="D96" i="4"/>
  <c r="J97" i="4" s="1"/>
  <c r="D96" i="31"/>
  <c r="J97" i="31" s="1"/>
  <c r="D96" i="37"/>
  <c r="J97" i="37" s="1"/>
  <c r="D96" i="35"/>
  <c r="J97" i="35" s="1"/>
  <c r="D96" i="26"/>
  <c r="J97" i="26" s="1"/>
  <c r="D96" i="28"/>
  <c r="J97" i="28" s="1"/>
  <c r="D96" i="19"/>
  <c r="J97" i="19" s="1"/>
  <c r="E107" i="19" s="1"/>
  <c r="F107" i="19" s="1"/>
  <c r="D96" i="25"/>
  <c r="J97" i="25" s="1"/>
  <c r="G100" i="20"/>
  <c r="D101" i="20"/>
  <c r="E101" i="20" s="1"/>
  <c r="I100" i="38"/>
  <c r="C128" i="22"/>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N7" i="35"/>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G33" i="17"/>
  <c r="F34" i="17"/>
  <c r="F35" i="17"/>
  <c r="I14" i="19" l="1"/>
  <c r="I14" i="35"/>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N5" i="13"/>
  <c r="I14" i="18"/>
  <c r="N5" i="3"/>
  <c r="E32" i="1"/>
  <c r="E33" i="1" s="1"/>
  <c r="E35" i="1" s="1"/>
  <c r="F52" i="1" s="1"/>
  <c r="F51" i="1"/>
  <c r="N6" i="3"/>
  <c r="B101" i="38"/>
  <c r="G104" i="23"/>
  <c r="H104" i="23" s="1"/>
  <c r="I14" i="38"/>
  <c r="I14" i="24"/>
  <c r="C33" i="24"/>
  <c r="C34" i="24" s="1"/>
  <c r="C35" i="24" s="1"/>
  <c r="C36" i="24" s="1"/>
  <c r="C37" i="24" s="1"/>
  <c r="C38" i="24" s="1"/>
  <c r="C39" i="24" s="1"/>
  <c r="C40" i="24" s="1"/>
  <c r="C41" i="24" s="1"/>
  <c r="C42" i="24" s="1"/>
  <c r="C43" i="24" s="1"/>
  <c r="C44" i="24" s="1"/>
  <c r="C45" i="24" s="1"/>
  <c r="C33" i="27"/>
  <c r="C34" i="27" s="1"/>
  <c r="C35" i="27" s="1"/>
  <c r="C36" i="27" s="1"/>
  <c r="C37" i="27" s="1"/>
  <c r="C38" i="27" s="1"/>
  <c r="C39" i="27" s="1"/>
  <c r="C40" i="27" s="1"/>
  <c r="C41" i="27" s="1"/>
  <c r="C42" i="27" s="1"/>
  <c r="C43" i="27" s="1"/>
  <c r="C44" i="27" s="1"/>
  <c r="C45" i="27" s="1"/>
  <c r="N5" i="27" s="1"/>
  <c r="I14" i="23"/>
  <c r="E22" i="23" s="1"/>
  <c r="F22" i="23" s="1"/>
  <c r="H22" i="23" s="1"/>
  <c r="C33" i="23"/>
  <c r="C34" i="23" s="1"/>
  <c r="C35" i="23" s="1"/>
  <c r="C36" i="23" s="1"/>
  <c r="C37" i="23" s="1"/>
  <c r="C38" i="23" s="1"/>
  <c r="C39" i="23" s="1"/>
  <c r="C40" i="23" s="1"/>
  <c r="C41" i="23" s="1"/>
  <c r="C42" i="23" s="1"/>
  <c r="C43" i="23" s="1"/>
  <c r="C44" i="23" s="1"/>
  <c r="C45" i="23" s="1"/>
  <c r="G100" i="13"/>
  <c r="D101" i="13"/>
  <c r="I18" i="20"/>
  <c r="B20" i="20"/>
  <c r="H19" i="20"/>
  <c r="G19" i="20"/>
  <c r="E20" i="20"/>
  <c r="F20" i="20" s="1"/>
  <c r="H20" i="20" s="1"/>
  <c r="G35" i="17"/>
  <c r="E105" i="23"/>
  <c r="F105" i="23" s="1"/>
  <c r="E106" i="23" s="1"/>
  <c r="B19" i="13"/>
  <c r="H17" i="13"/>
  <c r="I17" i="13" s="1"/>
  <c r="H18" i="13"/>
  <c r="E19" i="13"/>
  <c r="F19" i="13" s="1"/>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N5" i="21"/>
  <c r="N6" i="21"/>
  <c r="N5" i="29"/>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N6" i="29"/>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6" i="31"/>
  <c r="N5" i="31"/>
  <c r="C46" i="26"/>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N5" i="26"/>
  <c r="N6" i="26"/>
  <c r="E19" i="34"/>
  <c r="N5" i="28"/>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N6" i="22"/>
  <c r="N5" i="22"/>
  <c r="E26" i="4"/>
  <c r="E19" i="31"/>
  <c r="F26" i="3"/>
  <c r="E19" i="35"/>
  <c r="E22" i="22"/>
  <c r="E23" i="21"/>
  <c r="E22" i="26"/>
  <c r="E21" i="25"/>
  <c r="E25" i="19"/>
  <c r="C46" i="4"/>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N5" i="4"/>
  <c r="N6" i="4"/>
  <c r="B21" i="20"/>
  <c r="E20" i="29"/>
  <c r="E23" i="27"/>
  <c r="E23" i="28"/>
  <c r="D23" i="23"/>
  <c r="G22" i="23"/>
  <c r="E23" i="23"/>
  <c r="E25" i="18"/>
  <c r="C46" i="18"/>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N5" i="18"/>
  <c r="N6" i="18"/>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N5" i="19"/>
  <c r="N6" i="19"/>
  <c r="E108" i="4"/>
  <c r="F108" i="4" s="1"/>
  <c r="E109" i="4" s="1"/>
  <c r="E107" i="18"/>
  <c r="F107" i="18" s="1"/>
  <c r="E108" i="18" s="1"/>
  <c r="E101" i="31"/>
  <c r="F101" i="31" s="1"/>
  <c r="E102" i="31" s="1"/>
  <c r="E103" i="25"/>
  <c r="F103" i="25" s="1"/>
  <c r="E104" i="25" s="1"/>
  <c r="E100" i="37"/>
  <c r="F100" i="37" s="1"/>
  <c r="E101" i="37" s="1"/>
  <c r="E105" i="28"/>
  <c r="F105" i="28" s="1"/>
  <c r="E106" i="28" s="1"/>
  <c r="E104" i="26"/>
  <c r="F104" i="26" s="1"/>
  <c r="E105" i="26" s="1"/>
  <c r="E101" i="35"/>
  <c r="F101" i="35" s="1"/>
  <c r="E102" i="35" s="1"/>
  <c r="F102" i="29"/>
  <c r="F105" i="21"/>
  <c r="F101" i="34"/>
  <c r="J100" i="38"/>
  <c r="F105" i="24"/>
  <c r="F105" i="27"/>
  <c r="B101" i="20"/>
  <c r="F101" i="20"/>
  <c r="F101" i="38"/>
  <c r="H100" i="20"/>
  <c r="I100" i="20"/>
  <c r="D108" i="19"/>
  <c r="G107" i="19"/>
  <c r="E108" i="19"/>
  <c r="G34" i="17"/>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D105" i="22"/>
  <c r="G104" i="22"/>
  <c r="E105" i="22"/>
  <c r="D106" i="23"/>
  <c r="G108" i="3"/>
  <c r="D109" i="3"/>
  <c r="E109" i="3"/>
  <c r="N6" i="28" l="1"/>
  <c r="N7" i="28" s="1"/>
  <c r="N7" i="3"/>
  <c r="F53" i="1"/>
  <c r="F60" i="1" s="1"/>
  <c r="F63" i="1" s="1"/>
  <c r="F65" i="1" s="1"/>
  <c r="F67" i="1" s="1"/>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I104" i="23"/>
  <c r="J104" i="23" s="1"/>
  <c r="N6" i="27"/>
  <c r="N7" i="27" s="1"/>
  <c r="C46" i="24"/>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N5" i="24"/>
  <c r="N6" i="24"/>
  <c r="N6" i="23"/>
  <c r="N5" i="23"/>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E23" i="24"/>
  <c r="F23" i="24" s="1"/>
  <c r="E24" i="24" s="1"/>
  <c r="G105" i="23"/>
  <c r="H105" i="23" s="1"/>
  <c r="E101" i="13"/>
  <c r="F101" i="13" s="1"/>
  <c r="B101" i="13"/>
  <c r="H100" i="13"/>
  <c r="I100" i="13"/>
  <c r="I19" i="20"/>
  <c r="G20" i="20"/>
  <c r="I20" i="20" s="1"/>
  <c r="E21" i="20"/>
  <c r="F21" i="20" s="1"/>
  <c r="N7" i="31"/>
  <c r="N7" i="4"/>
  <c r="D20" i="13"/>
  <c r="E20" i="13" s="1"/>
  <c r="F20" i="13" s="1"/>
  <c r="D21" i="13" s="1"/>
  <c r="H19" i="13"/>
  <c r="G19" i="13"/>
  <c r="I18" i="13"/>
  <c r="N6" i="13"/>
  <c r="N7" i="13" s="1"/>
  <c r="F73" i="1"/>
  <c r="F74" i="1" s="1"/>
  <c r="F20" i="29"/>
  <c r="N7" i="18"/>
  <c r="B23" i="23"/>
  <c r="F23" i="23"/>
  <c r="G23" i="23" s="1"/>
  <c r="F23" i="28"/>
  <c r="F23" i="27"/>
  <c r="F21" i="25"/>
  <c r="F19" i="35"/>
  <c r="N7" i="22"/>
  <c r="N7" i="21"/>
  <c r="F22" i="22"/>
  <c r="I22" i="23"/>
  <c r="N7" i="19"/>
  <c r="F25" i="18"/>
  <c r="F19" i="31"/>
  <c r="N7" i="26"/>
  <c r="F22" i="26"/>
  <c r="F23" i="21"/>
  <c r="G26" i="3"/>
  <c r="D27" i="3"/>
  <c r="H26" i="3"/>
  <c r="E27" i="3"/>
  <c r="F26" i="4"/>
  <c r="F19" i="34"/>
  <c r="N7" i="29"/>
  <c r="F25" i="19"/>
  <c r="D108" i="18"/>
  <c r="G107" i="18"/>
  <c r="H107" i="18" s="1"/>
  <c r="D109" i="4"/>
  <c r="G108" i="4"/>
  <c r="G104" i="26"/>
  <c r="D105" i="26"/>
  <c r="J100" i="20"/>
  <c r="G105" i="28"/>
  <c r="D106" i="28"/>
  <c r="G101" i="31"/>
  <c r="D102" i="31"/>
  <c r="G100" i="37"/>
  <c r="D101" i="37"/>
  <c r="G101" i="35"/>
  <c r="D102" i="35"/>
  <c r="G103" i="25"/>
  <c r="D104" i="25"/>
  <c r="B104" i="25" s="1"/>
  <c r="G105" i="24"/>
  <c r="D106" i="24"/>
  <c r="E106" i="24"/>
  <c r="H107" i="19"/>
  <c r="I107" i="19"/>
  <c r="B108" i="19"/>
  <c r="F108" i="19"/>
  <c r="G101" i="20"/>
  <c r="D102" i="20"/>
  <c r="B102" i="20" s="1"/>
  <c r="G101" i="38"/>
  <c r="D102" i="38"/>
  <c r="E102" i="38" s="1"/>
  <c r="G101" i="34"/>
  <c r="D102" i="34"/>
  <c r="E102" i="34"/>
  <c r="D103" i="29"/>
  <c r="G102" i="29"/>
  <c r="E103" i="29"/>
  <c r="G105" i="21"/>
  <c r="D106" i="21"/>
  <c r="E106" i="21"/>
  <c r="D106" i="27"/>
  <c r="G105" i="27"/>
  <c r="E106" i="27"/>
  <c r="H104" i="22"/>
  <c r="I104" i="22"/>
  <c r="B105" i="22"/>
  <c r="F105" i="22"/>
  <c r="B109" i="3"/>
  <c r="F109" i="3"/>
  <c r="H108" i="3"/>
  <c r="I108" i="3"/>
  <c r="F106" i="23"/>
  <c r="F32" i="17"/>
  <c r="F18" i="17"/>
  <c r="F21" i="17"/>
  <c r="F23" i="17"/>
  <c r="F20" i="17"/>
  <c r="F19" i="17"/>
  <c r="F24" i="17"/>
  <c r="F28" i="17"/>
  <c r="F31" i="17"/>
  <c r="F30" i="17"/>
  <c r="F29" i="17"/>
  <c r="G18" i="17" l="1"/>
  <c r="I105" i="23"/>
  <c r="J105" i="23" s="1"/>
  <c r="N7" i="23"/>
  <c r="D24" i="24"/>
  <c r="F24" i="24" s="1"/>
  <c r="G23" i="24"/>
  <c r="H23" i="24"/>
  <c r="N7" i="24"/>
  <c r="D102" i="13"/>
  <c r="G101" i="13"/>
  <c r="J100" i="13"/>
  <c r="H23" i="23"/>
  <c r="I23" i="23" s="1"/>
  <c r="G30" i="17"/>
  <c r="E21" i="13"/>
  <c r="F21" i="13" s="1"/>
  <c r="B21" i="13"/>
  <c r="G29" i="17"/>
  <c r="G19" i="17"/>
  <c r="G32" i="17"/>
  <c r="I19" i="13"/>
  <c r="B20" i="13"/>
  <c r="H20" i="13"/>
  <c r="G20" i="13"/>
  <c r="G24" i="17"/>
  <c r="G23" i="17"/>
  <c r="G20" i="17"/>
  <c r="G31" i="17"/>
  <c r="G21" i="17"/>
  <c r="G28" i="17"/>
  <c r="G19" i="34"/>
  <c r="H19" i="34"/>
  <c r="D20" i="34"/>
  <c r="E20" i="34"/>
  <c r="D23" i="26"/>
  <c r="G22" i="26"/>
  <c r="H22" i="26"/>
  <c r="E23" i="26"/>
  <c r="D20" i="35"/>
  <c r="H19" i="35"/>
  <c r="G19" i="35"/>
  <c r="E20" i="35"/>
  <c r="D24" i="27"/>
  <c r="G23" i="27"/>
  <c r="H23" i="27"/>
  <c r="E24" i="27"/>
  <c r="G20" i="29"/>
  <c r="D21" i="29"/>
  <c r="H20" i="29"/>
  <c r="E21" i="29"/>
  <c r="H19" i="31"/>
  <c r="G19" i="31"/>
  <c r="D20" i="31"/>
  <c r="E20" i="31"/>
  <c r="D24" i="28"/>
  <c r="G23" i="28"/>
  <c r="H23" i="28"/>
  <c r="E24" i="28"/>
  <c r="D24" i="21"/>
  <c r="G23" i="21"/>
  <c r="H23" i="21"/>
  <c r="E24" i="21"/>
  <c r="G26" i="4"/>
  <c r="H26" i="4"/>
  <c r="D27" i="4"/>
  <c r="E27" i="4"/>
  <c r="I26" i="3"/>
  <c r="D18" i="38"/>
  <c r="E18" i="38"/>
  <c r="H25" i="18"/>
  <c r="D26" i="18"/>
  <c r="G25" i="18"/>
  <c r="E26" i="18"/>
  <c r="B27" i="3"/>
  <c r="F27" i="3"/>
  <c r="B22" i="20"/>
  <c r="G21" i="20"/>
  <c r="H21" i="20"/>
  <c r="E22" i="20"/>
  <c r="D22" i="25"/>
  <c r="G21" i="25"/>
  <c r="H21" i="25"/>
  <c r="E22" i="25"/>
  <c r="F68" i="1"/>
  <c r="F69" i="1" s="1"/>
  <c r="F54" i="1" s="1"/>
  <c r="F55" i="1" s="1"/>
  <c r="F57" i="1" s="1"/>
  <c r="F76" i="1" s="1"/>
  <c r="F77" i="1" s="1"/>
  <c r="F79" i="1" s="1"/>
  <c r="D26" i="19"/>
  <c r="G25" i="19"/>
  <c r="H25" i="19"/>
  <c r="E26" i="19"/>
  <c r="G22" i="22"/>
  <c r="D23" i="22"/>
  <c r="H22" i="22"/>
  <c r="E23" i="22"/>
  <c r="D24" i="23"/>
  <c r="E24" i="23"/>
  <c r="B108" i="18"/>
  <c r="F108" i="18"/>
  <c r="E102" i="20"/>
  <c r="F102" i="20" s="1"/>
  <c r="G102" i="20" s="1"/>
  <c r="F104" i="25"/>
  <c r="D105" i="25" s="1"/>
  <c r="H108" i="4"/>
  <c r="I108" i="4"/>
  <c r="F109" i="4"/>
  <c r="B109" i="4"/>
  <c r="I107" i="18"/>
  <c r="B101" i="37"/>
  <c r="F101" i="37"/>
  <c r="H100" i="37"/>
  <c r="I100" i="37"/>
  <c r="B102" i="31"/>
  <c r="F102" i="31"/>
  <c r="H104" i="26"/>
  <c r="I104" i="26"/>
  <c r="I103" i="25"/>
  <c r="H103" i="25"/>
  <c r="I101" i="31"/>
  <c r="H101" i="31"/>
  <c r="B102" i="35"/>
  <c r="F102" i="35"/>
  <c r="B106" i="28"/>
  <c r="F106" i="28"/>
  <c r="B105" i="26"/>
  <c r="F105" i="26"/>
  <c r="H101" i="35"/>
  <c r="I101" i="35"/>
  <c r="H105" i="28"/>
  <c r="I105" i="28"/>
  <c r="H101" i="34"/>
  <c r="I101" i="34"/>
  <c r="I101" i="20"/>
  <c r="H101" i="20"/>
  <c r="G108" i="19"/>
  <c r="D109" i="19"/>
  <c r="E109" i="19"/>
  <c r="B106" i="27"/>
  <c r="F106" i="27"/>
  <c r="J107" i="19"/>
  <c r="F103" i="29"/>
  <c r="B102" i="38"/>
  <c r="F102" i="38"/>
  <c r="H101" i="38"/>
  <c r="I101" i="38"/>
  <c r="H105" i="27"/>
  <c r="I105" i="27"/>
  <c r="H102" i="29"/>
  <c r="I102" i="29"/>
  <c r="F106" i="21"/>
  <c r="B106" i="21"/>
  <c r="F102" i="34"/>
  <c r="B102" i="34"/>
  <c r="B106" i="24"/>
  <c r="F106" i="24"/>
  <c r="H105" i="21"/>
  <c r="I105" i="21"/>
  <c r="H105" i="24"/>
  <c r="I105" i="24"/>
  <c r="J108" i="3"/>
  <c r="D110" i="3"/>
  <c r="E110" i="3"/>
  <c r="G109" i="3"/>
  <c r="D106" i="22"/>
  <c r="G105" i="22"/>
  <c r="E106" i="22"/>
  <c r="D107" i="23"/>
  <c r="G106" i="23"/>
  <c r="E107" i="23"/>
  <c r="J104" i="22"/>
  <c r="F27" i="17"/>
  <c r="F25" i="17"/>
  <c r="G25" i="17" l="1"/>
  <c r="D103" i="20"/>
  <c r="E103" i="20" s="1"/>
  <c r="G27" i="17"/>
  <c r="D25" i="24"/>
  <c r="E25" i="24"/>
  <c r="B24" i="24"/>
  <c r="G24" i="24"/>
  <c r="H24" i="24"/>
  <c r="I23" i="24"/>
  <c r="E105" i="25"/>
  <c r="F105" i="25" s="1"/>
  <c r="I101" i="13"/>
  <c r="H101" i="13"/>
  <c r="E102" i="13"/>
  <c r="F102" i="13" s="1"/>
  <c r="B102" i="13"/>
  <c r="H21" i="13"/>
  <c r="D22" i="13"/>
  <c r="E22" i="13" s="1"/>
  <c r="F22" i="13" s="1"/>
  <c r="G21" i="13"/>
  <c r="I20" i="13"/>
  <c r="B20" i="35"/>
  <c r="F20" i="35"/>
  <c r="G20" i="35" s="1"/>
  <c r="G104" i="25"/>
  <c r="H104" i="25" s="1"/>
  <c r="B19" i="37"/>
  <c r="I25" i="19"/>
  <c r="D28" i="3"/>
  <c r="E28" i="3"/>
  <c r="F24" i="21"/>
  <c r="G24" i="21" s="1"/>
  <c r="B24" i="21"/>
  <c r="I19" i="31"/>
  <c r="I23" i="27"/>
  <c r="C42" i="25"/>
  <c r="C43" i="25" s="1"/>
  <c r="C44" i="25" s="1"/>
  <c r="C45" i="25" s="1"/>
  <c r="F22" i="25"/>
  <c r="B22" i="25"/>
  <c r="H27" i="3"/>
  <c r="I22" i="26"/>
  <c r="I22" i="22"/>
  <c r="B26" i="19"/>
  <c r="F26" i="19"/>
  <c r="G26" i="19" s="1"/>
  <c r="F22" i="20"/>
  <c r="G27" i="3"/>
  <c r="B18" i="38"/>
  <c r="F18" i="38"/>
  <c r="H18" i="38" s="1"/>
  <c r="F27" i="4"/>
  <c r="H27" i="4" s="1"/>
  <c r="B27" i="4"/>
  <c r="I23" i="28"/>
  <c r="B24" i="27"/>
  <c r="F24" i="27"/>
  <c r="B26" i="18"/>
  <c r="F26" i="18"/>
  <c r="H26" i="18" s="1"/>
  <c r="I23" i="21"/>
  <c r="F23" i="22"/>
  <c r="G23" i="22" s="1"/>
  <c r="B23" i="22"/>
  <c r="I21" i="20"/>
  <c r="I26" i="4"/>
  <c r="B23" i="26"/>
  <c r="F23" i="26"/>
  <c r="G23" i="26" s="1"/>
  <c r="B20" i="34"/>
  <c r="F20" i="34"/>
  <c r="G20" i="34" s="1"/>
  <c r="B24" i="23"/>
  <c r="F24" i="23"/>
  <c r="H24" i="23" s="1"/>
  <c r="I17" i="38"/>
  <c r="F24" i="28"/>
  <c r="G24" i="28" s="1"/>
  <c r="B24" i="28"/>
  <c r="I20" i="29"/>
  <c r="I19" i="34"/>
  <c r="I19" i="35"/>
  <c r="F21" i="29"/>
  <c r="H21" i="29" s="1"/>
  <c r="F20" i="31"/>
  <c r="H20" i="31" s="1"/>
  <c r="B20" i="31"/>
  <c r="I18" i="37"/>
  <c r="I21" i="25"/>
  <c r="I25" i="18"/>
  <c r="G109" i="4"/>
  <c r="D110" i="4"/>
  <c r="E110" i="4"/>
  <c r="J108" i="4"/>
  <c r="G108" i="18"/>
  <c r="E109" i="18"/>
  <c r="D109" i="18"/>
  <c r="J107" i="18"/>
  <c r="J101" i="35"/>
  <c r="J100" i="37"/>
  <c r="J103" i="25"/>
  <c r="G105" i="26"/>
  <c r="D106" i="26"/>
  <c r="E106" i="26"/>
  <c r="E102" i="37"/>
  <c r="G101" i="37"/>
  <c r="D102" i="37"/>
  <c r="D107" i="28"/>
  <c r="G106" i="28"/>
  <c r="E107" i="28"/>
  <c r="J104" i="26"/>
  <c r="J105" i="28"/>
  <c r="E103" i="35"/>
  <c r="D103" i="35"/>
  <c r="G102" i="35"/>
  <c r="G102" i="31"/>
  <c r="D103" i="31"/>
  <c r="E103" i="31"/>
  <c r="B105" i="25"/>
  <c r="J105" i="27"/>
  <c r="G102" i="34"/>
  <c r="D103" i="34"/>
  <c r="E103" i="34"/>
  <c r="I108" i="19"/>
  <c r="H108" i="19"/>
  <c r="G103" i="29"/>
  <c r="D104" i="29"/>
  <c r="E104" i="29"/>
  <c r="J105" i="21"/>
  <c r="J102" i="29"/>
  <c r="D107" i="27"/>
  <c r="G106" i="27"/>
  <c r="E107" i="27"/>
  <c r="J101" i="20"/>
  <c r="J105" i="24"/>
  <c r="D107" i="24"/>
  <c r="G106" i="24"/>
  <c r="E107" i="24"/>
  <c r="J101" i="38"/>
  <c r="G102" i="38"/>
  <c r="D103" i="38"/>
  <c r="J101" i="34"/>
  <c r="D107" i="21"/>
  <c r="G106" i="21"/>
  <c r="E107" i="21"/>
  <c r="F109" i="19"/>
  <c r="B109" i="19"/>
  <c r="H105" i="22"/>
  <c r="I105" i="22"/>
  <c r="B110" i="3"/>
  <c r="F110" i="3"/>
  <c r="B106" i="22"/>
  <c r="F106" i="22"/>
  <c r="H102" i="20"/>
  <c r="I102" i="20"/>
  <c r="H109" i="3"/>
  <c r="I109" i="3"/>
  <c r="B103" i="20"/>
  <c r="F103" i="20"/>
  <c r="H106" i="23"/>
  <c r="I106" i="23"/>
  <c r="F107" i="23"/>
  <c r="I24" i="24" l="1"/>
  <c r="B22" i="13"/>
  <c r="I21" i="13"/>
  <c r="H24" i="28"/>
  <c r="I24" i="28" s="1"/>
  <c r="F25" i="24"/>
  <c r="H25" i="24" s="1"/>
  <c r="B25" i="24"/>
  <c r="I104" i="25"/>
  <c r="J104" i="25" s="1"/>
  <c r="G102" i="13"/>
  <c r="D103" i="13"/>
  <c r="B103" i="13" s="1"/>
  <c r="J101" i="13"/>
  <c r="H20" i="34"/>
  <c r="I20" i="34" s="1"/>
  <c r="H23" i="22"/>
  <c r="I23" i="22" s="1"/>
  <c r="G20" i="31"/>
  <c r="I20" i="31" s="1"/>
  <c r="H24" i="21"/>
  <c r="I24" i="21" s="1"/>
  <c r="G27" i="4"/>
  <c r="I27" i="4" s="1"/>
  <c r="G26" i="18"/>
  <c r="I26" i="18" s="1"/>
  <c r="I19" i="37"/>
  <c r="H26" i="19"/>
  <c r="I26" i="19" s="1"/>
  <c r="G24" i="23"/>
  <c r="I24" i="23" s="1"/>
  <c r="H20" i="35"/>
  <c r="I20" i="35" s="1"/>
  <c r="D23" i="13"/>
  <c r="E23" i="13" s="1"/>
  <c r="G22" i="13"/>
  <c r="H22" i="13"/>
  <c r="G18" i="38"/>
  <c r="I18" i="38" s="1"/>
  <c r="D21" i="31"/>
  <c r="E21" i="31"/>
  <c r="D21" i="35"/>
  <c r="E21" i="35"/>
  <c r="D23" i="25"/>
  <c r="E23" i="25"/>
  <c r="D25" i="28"/>
  <c r="E25" i="28" s="1"/>
  <c r="D25" i="23"/>
  <c r="E25" i="23"/>
  <c r="I27" i="3"/>
  <c r="D25" i="27"/>
  <c r="E25" i="27"/>
  <c r="G22" i="25"/>
  <c r="D22" i="29"/>
  <c r="E22" i="29"/>
  <c r="D24" i="26"/>
  <c r="E24" i="26"/>
  <c r="G22" i="20"/>
  <c r="H22" i="20"/>
  <c r="E23" i="20"/>
  <c r="B23" i="20"/>
  <c r="B28" i="3"/>
  <c r="F28" i="3"/>
  <c r="G28" i="3" s="1"/>
  <c r="G24" i="27"/>
  <c r="G21" i="29"/>
  <c r="I21" i="29" s="1"/>
  <c r="D27" i="18"/>
  <c r="E27" i="18"/>
  <c r="H24" i="27"/>
  <c r="D28" i="4"/>
  <c r="E28" i="4"/>
  <c r="H22" i="25"/>
  <c r="D25" i="21"/>
  <c r="E25" i="21"/>
  <c r="D20" i="37"/>
  <c r="E20" i="37"/>
  <c r="D21" i="34"/>
  <c r="E21" i="34"/>
  <c r="H23" i="26"/>
  <c r="D24" i="22"/>
  <c r="E24" i="22"/>
  <c r="D19" i="38"/>
  <c r="E19" i="38"/>
  <c r="D27" i="19"/>
  <c r="E27" i="19"/>
  <c r="N5"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N6" i="25"/>
  <c r="I108" i="18"/>
  <c r="H108" i="18"/>
  <c r="B110" i="4"/>
  <c r="F110" i="4"/>
  <c r="H109" i="4"/>
  <c r="I109" i="4"/>
  <c r="F109" i="18"/>
  <c r="B109" i="18"/>
  <c r="F104" i="29"/>
  <c r="D105" i="29" s="1"/>
  <c r="I102" i="35"/>
  <c r="H102" i="35"/>
  <c r="F103" i="35"/>
  <c r="B103" i="35"/>
  <c r="B107" i="28"/>
  <c r="F107" i="28"/>
  <c r="I105" i="26"/>
  <c r="H105" i="26"/>
  <c r="I102" i="31"/>
  <c r="H102" i="31"/>
  <c r="H106" i="28"/>
  <c r="I106" i="28"/>
  <c r="D106" i="25"/>
  <c r="E106" i="25"/>
  <c r="G105" i="25"/>
  <c r="H101" i="37"/>
  <c r="I101" i="37"/>
  <c r="B106" i="26"/>
  <c r="F106" i="26"/>
  <c r="B102" i="37"/>
  <c r="F102" i="37"/>
  <c r="F103" i="31"/>
  <c r="B103" i="31"/>
  <c r="I106" i="27"/>
  <c r="H106" i="27"/>
  <c r="H103" i="29"/>
  <c r="I103" i="29"/>
  <c r="B103" i="34"/>
  <c r="F103" i="34"/>
  <c r="F107" i="27"/>
  <c r="B107" i="27"/>
  <c r="H102" i="34"/>
  <c r="I102" i="34"/>
  <c r="H102" i="38"/>
  <c r="I102" i="38"/>
  <c r="B103" i="38"/>
  <c r="H106" i="21"/>
  <c r="I106" i="21"/>
  <c r="F107" i="21"/>
  <c r="B107" i="21"/>
  <c r="H106" i="24"/>
  <c r="I106" i="24"/>
  <c r="F107" i="24"/>
  <c r="B107" i="24"/>
  <c r="D110" i="19"/>
  <c r="G109" i="19"/>
  <c r="E110" i="19"/>
  <c r="E103" i="38"/>
  <c r="F103" i="38" s="1"/>
  <c r="J108" i="19"/>
  <c r="J105" i="22"/>
  <c r="J109" i="3"/>
  <c r="J102" i="20"/>
  <c r="J106" i="23"/>
  <c r="G106" i="22"/>
  <c r="D107" i="22"/>
  <c r="E107" i="22"/>
  <c r="D104" i="20"/>
  <c r="G103" i="20"/>
  <c r="G107" i="23"/>
  <c r="D108" i="23"/>
  <c r="E108" i="23"/>
  <c r="G110" i="3"/>
  <c r="D111" i="3"/>
  <c r="E111" i="3"/>
  <c r="E103" i="13" l="1"/>
  <c r="F103" i="13" s="1"/>
  <c r="G25" i="24"/>
  <c r="I25" i="24" s="1"/>
  <c r="E26" i="24"/>
  <c r="D26" i="24"/>
  <c r="J101" i="37"/>
  <c r="G103" i="13"/>
  <c r="D104" i="13"/>
  <c r="H102" i="13"/>
  <c r="I102" i="13"/>
  <c r="N7" i="25"/>
  <c r="I23" i="26"/>
  <c r="B21" i="34"/>
  <c r="F21" i="34"/>
  <c r="H21" i="34" s="1"/>
  <c r="G21" i="34"/>
  <c r="B20" i="37"/>
  <c r="F20" i="37"/>
  <c r="G20" i="37" s="1"/>
  <c r="B27" i="18"/>
  <c r="F27" i="18"/>
  <c r="G27" i="18" s="1"/>
  <c r="J108" i="18"/>
  <c r="B27" i="19"/>
  <c r="F27" i="19"/>
  <c r="H27" i="19" s="1"/>
  <c r="F23" i="20"/>
  <c r="B24" i="26"/>
  <c r="F24" i="26"/>
  <c r="H24" i="26" s="1"/>
  <c r="J109" i="4"/>
  <c r="B25" i="21"/>
  <c r="F25" i="21"/>
  <c r="H25" i="21" s="1"/>
  <c r="I22" i="20"/>
  <c r="I22" i="13"/>
  <c r="B24" i="22"/>
  <c r="F24" i="22"/>
  <c r="G24" i="22" s="1"/>
  <c r="B28" i="4"/>
  <c r="F28" i="4"/>
  <c r="H28" i="4" s="1"/>
  <c r="B25" i="23"/>
  <c r="F25" i="23"/>
  <c r="H25" i="23" s="1"/>
  <c r="I24" i="27"/>
  <c r="B19" i="38"/>
  <c r="F19" i="38"/>
  <c r="H19" i="38" s="1"/>
  <c r="I22" i="25"/>
  <c r="D29" i="3"/>
  <c r="E29" i="3"/>
  <c r="F23" i="25"/>
  <c r="H23" i="25" s="1"/>
  <c r="B23" i="25"/>
  <c r="H28" i="3"/>
  <c r="B25" i="27"/>
  <c r="F25" i="27"/>
  <c r="H25" i="27" s="1"/>
  <c r="B21" i="31"/>
  <c r="F21" i="31"/>
  <c r="G21" i="31" s="1"/>
  <c r="F23" i="13"/>
  <c r="H23" i="13" s="1"/>
  <c r="B23" i="13"/>
  <c r="F22" i="29"/>
  <c r="G22" i="29" s="1"/>
  <c r="B25" i="28"/>
  <c r="F25" i="28"/>
  <c r="H25" i="28" s="1"/>
  <c r="B21" i="35"/>
  <c r="F21" i="35"/>
  <c r="H21" i="35" s="1"/>
  <c r="E111" i="4"/>
  <c r="G110" i="4"/>
  <c r="D111" i="4"/>
  <c r="G109" i="18"/>
  <c r="E110" i="18"/>
  <c r="D110" i="18"/>
  <c r="G103" i="31"/>
  <c r="D104" i="31"/>
  <c r="E104" i="31"/>
  <c r="G102" i="37"/>
  <c r="E103" i="37"/>
  <c r="D103" i="37"/>
  <c r="J102" i="31"/>
  <c r="G107" i="28"/>
  <c r="E108" i="28"/>
  <c r="D108" i="28"/>
  <c r="J105" i="26"/>
  <c r="E105" i="29"/>
  <c r="G104" i="29"/>
  <c r="I104" i="29" s="1"/>
  <c r="E107" i="26"/>
  <c r="G106" i="26"/>
  <c r="D107" i="26"/>
  <c r="B106" i="25"/>
  <c r="F106" i="25"/>
  <c r="H105" i="25"/>
  <c r="I105" i="25"/>
  <c r="G103" i="35"/>
  <c r="D104" i="35"/>
  <c r="E104" i="35"/>
  <c r="J106" i="28"/>
  <c r="J102" i="35"/>
  <c r="G107" i="21"/>
  <c r="D108" i="21"/>
  <c r="E108" i="21"/>
  <c r="J102" i="38"/>
  <c r="J106" i="27"/>
  <c r="F108" i="23"/>
  <c r="G108" i="23" s="1"/>
  <c r="J106" i="24"/>
  <c r="H104" i="29"/>
  <c r="H109" i="19"/>
  <c r="I109" i="19"/>
  <c r="F105" i="29"/>
  <c r="J102" i="34"/>
  <c r="B110" i="19"/>
  <c r="F110" i="19"/>
  <c r="D108" i="24"/>
  <c r="G107" i="24"/>
  <c r="E108" i="24"/>
  <c r="J106" i="21"/>
  <c r="G103" i="34"/>
  <c r="D104" i="34"/>
  <c r="E104" i="34"/>
  <c r="D104" i="38"/>
  <c r="E104" i="38" s="1"/>
  <c r="G103" i="38"/>
  <c r="G107" i="27"/>
  <c r="D108" i="27"/>
  <c r="E108" i="27"/>
  <c r="J103" i="29"/>
  <c r="H103" i="20"/>
  <c r="I103" i="20"/>
  <c r="B104" i="20"/>
  <c r="E104" i="20"/>
  <c r="F104" i="20" s="1"/>
  <c r="B111" i="3"/>
  <c r="F111" i="3"/>
  <c r="F107" i="22"/>
  <c r="B107" i="22"/>
  <c r="H110" i="3"/>
  <c r="I110" i="3"/>
  <c r="I107" i="23"/>
  <c r="H107" i="23"/>
  <c r="H106" i="22"/>
  <c r="I106" i="22"/>
  <c r="F26" i="17"/>
  <c r="F26" i="24" l="1"/>
  <c r="H26" i="24" s="1"/>
  <c r="B26" i="24"/>
  <c r="B104" i="13"/>
  <c r="I103" i="13"/>
  <c r="H103" i="13"/>
  <c r="J102" i="13"/>
  <c r="E104" i="13"/>
  <c r="F104" i="13" s="1"/>
  <c r="G23" i="25"/>
  <c r="G26" i="17"/>
  <c r="G25" i="28"/>
  <c r="I25" i="28" s="1"/>
  <c r="G21" i="35"/>
  <c r="I21" i="35" s="1"/>
  <c r="G28" i="4"/>
  <c r="I28" i="4" s="1"/>
  <c r="H24" i="22"/>
  <c r="I24" i="22" s="1"/>
  <c r="H22" i="29"/>
  <c r="I22" i="29" s="1"/>
  <c r="H21" i="31"/>
  <c r="I21" i="31" s="1"/>
  <c r="I23" i="25"/>
  <c r="E109" i="23"/>
  <c r="G19" i="38"/>
  <c r="I19" i="38" s="1"/>
  <c r="D109" i="23"/>
  <c r="G25" i="23"/>
  <c r="I25" i="23" s="1"/>
  <c r="G24" i="26"/>
  <c r="I24" i="26" s="1"/>
  <c r="G25" i="27"/>
  <c r="I25" i="27" s="1"/>
  <c r="H23" i="20"/>
  <c r="G23" i="20"/>
  <c r="N5" i="20" s="1"/>
  <c r="M19" i="1" s="1"/>
  <c r="E24" i="20"/>
  <c r="B24" i="20"/>
  <c r="D22" i="35"/>
  <c r="E22" i="35"/>
  <c r="D23" i="29"/>
  <c r="E23" i="29"/>
  <c r="G23" i="13"/>
  <c r="I23" i="13" s="1"/>
  <c r="F29" i="3"/>
  <c r="G29" i="3" s="1"/>
  <c r="B29" i="3"/>
  <c r="D29" i="4"/>
  <c r="E29" i="4"/>
  <c r="D26" i="27"/>
  <c r="E26" i="27"/>
  <c r="D25" i="22"/>
  <c r="E25" i="22"/>
  <c r="D28" i="19"/>
  <c r="E28" i="19"/>
  <c r="D28" i="18"/>
  <c r="E28" i="18"/>
  <c r="D21" i="37"/>
  <c r="E21" i="37"/>
  <c r="I21" i="34"/>
  <c r="G25" i="21"/>
  <c r="D25" i="26"/>
  <c r="E25" i="26"/>
  <c r="G27" i="19"/>
  <c r="H27" i="18"/>
  <c r="D22" i="34"/>
  <c r="E22" i="34"/>
  <c r="D24" i="13"/>
  <c r="E24" i="13" s="1"/>
  <c r="D26" i="28"/>
  <c r="E26" i="28"/>
  <c r="D26" i="21"/>
  <c r="E26" i="21"/>
  <c r="D22" i="31"/>
  <c r="E22" i="31"/>
  <c r="I28" i="3"/>
  <c r="D24" i="25"/>
  <c r="E24" i="25"/>
  <c r="D20" i="38"/>
  <c r="E20" i="38"/>
  <c r="E26" i="23"/>
  <c r="D26" i="23"/>
  <c r="H20" i="37"/>
  <c r="I109" i="18"/>
  <c r="H109" i="18"/>
  <c r="F111" i="4"/>
  <c r="B111" i="4"/>
  <c r="F110" i="18"/>
  <c r="B110" i="18"/>
  <c r="I110" i="4"/>
  <c r="H110" i="4"/>
  <c r="G106" i="25"/>
  <c r="D107" i="25"/>
  <c r="E107" i="25"/>
  <c r="F108" i="28"/>
  <c r="B108" i="28"/>
  <c r="B104" i="31"/>
  <c r="F104" i="31"/>
  <c r="I103" i="31"/>
  <c r="H103" i="31"/>
  <c r="B107" i="26"/>
  <c r="F107" i="26"/>
  <c r="H107" i="28"/>
  <c r="I107" i="28"/>
  <c r="I106" i="26"/>
  <c r="H106" i="26"/>
  <c r="B104" i="35"/>
  <c r="F104" i="35"/>
  <c r="B103" i="37"/>
  <c r="F103" i="37"/>
  <c r="I103" i="35"/>
  <c r="H103" i="35"/>
  <c r="J105" i="25"/>
  <c r="H102" i="37"/>
  <c r="I102" i="37"/>
  <c r="I107" i="21"/>
  <c r="H107" i="21"/>
  <c r="F104" i="34"/>
  <c r="B104" i="34"/>
  <c r="F108" i="27"/>
  <c r="B108" i="27"/>
  <c r="H103" i="34"/>
  <c r="I103" i="34"/>
  <c r="G105" i="29"/>
  <c r="D106" i="29"/>
  <c r="E106" i="29"/>
  <c r="H107" i="27"/>
  <c r="I107" i="27"/>
  <c r="H107" i="24"/>
  <c r="I107" i="24"/>
  <c r="H103" i="38"/>
  <c r="I103" i="38"/>
  <c r="B108" i="24"/>
  <c r="F108" i="24"/>
  <c r="J109" i="19"/>
  <c r="F104" i="38"/>
  <c r="B104" i="38"/>
  <c r="D111" i="19"/>
  <c r="G110" i="19"/>
  <c r="E111" i="19"/>
  <c r="J104" i="29"/>
  <c r="B108" i="21"/>
  <c r="F108" i="21"/>
  <c r="D105" i="20"/>
  <c r="G104" i="20"/>
  <c r="H108" i="23"/>
  <c r="I108" i="23"/>
  <c r="J103" i="20"/>
  <c r="J106" i="22"/>
  <c r="J110" i="3"/>
  <c r="J107" i="23"/>
  <c r="D108" i="22"/>
  <c r="G107" i="22"/>
  <c r="E108" i="22"/>
  <c r="D112" i="3"/>
  <c r="E112" i="3"/>
  <c r="G111" i="3"/>
  <c r="G26" i="24" l="1"/>
  <c r="I26" i="24" s="1"/>
  <c r="E27" i="24"/>
  <c r="D27" i="24"/>
  <c r="F109" i="23"/>
  <c r="E110" i="23" s="1"/>
  <c r="G104" i="13"/>
  <c r="D105" i="13"/>
  <c r="J103" i="13"/>
  <c r="B22" i="31"/>
  <c r="F22" i="31"/>
  <c r="H22" i="31" s="1"/>
  <c r="I27" i="18"/>
  <c r="B28" i="18"/>
  <c r="F28" i="18"/>
  <c r="D30" i="3"/>
  <c r="E30" i="3"/>
  <c r="F24" i="20"/>
  <c r="F26" i="27"/>
  <c r="G26" i="27" s="1"/>
  <c r="B26" i="27"/>
  <c r="M20" i="1"/>
  <c r="R128" i="1"/>
  <c r="B26" i="28"/>
  <c r="F26" i="28"/>
  <c r="G26" i="28" s="1"/>
  <c r="F25" i="26"/>
  <c r="G25" i="26" s="1"/>
  <c r="B25" i="26"/>
  <c r="B28" i="19"/>
  <c r="F28" i="19"/>
  <c r="G28" i="19" s="1"/>
  <c r="I23" i="20"/>
  <c r="N6" i="20"/>
  <c r="N19" i="1" s="1"/>
  <c r="B22" i="34"/>
  <c r="F22" i="34"/>
  <c r="I20" i="37"/>
  <c r="F24" i="25"/>
  <c r="G24" i="25" s="1"/>
  <c r="B24" i="25"/>
  <c r="B26" i="21"/>
  <c r="F26" i="21"/>
  <c r="G26" i="21" s="1"/>
  <c r="F23" i="29"/>
  <c r="G23" i="29" s="1"/>
  <c r="F26" i="23"/>
  <c r="H26" i="23" s="1"/>
  <c r="B26" i="23"/>
  <c r="B20" i="38"/>
  <c r="F20" i="38"/>
  <c r="G20" i="38" s="1"/>
  <c r="I27" i="19"/>
  <c r="F24" i="13"/>
  <c r="H24" i="13" s="1"/>
  <c r="B24" i="13"/>
  <c r="B29" i="4"/>
  <c r="F29" i="4"/>
  <c r="G29" i="4" s="1"/>
  <c r="I25" i="21"/>
  <c r="F21" i="37"/>
  <c r="B21" i="37"/>
  <c r="F25" i="22"/>
  <c r="G25" i="22" s="1"/>
  <c r="B25" i="22"/>
  <c r="H29" i="3"/>
  <c r="B22" i="35"/>
  <c r="F22" i="35"/>
  <c r="G22" i="35" s="1"/>
  <c r="J108" i="23"/>
  <c r="J107" i="28"/>
  <c r="D111" i="18"/>
  <c r="E111" i="18"/>
  <c r="G110" i="18"/>
  <c r="E112" i="4"/>
  <c r="D112" i="4"/>
  <c r="G111" i="4"/>
  <c r="J110" i="4"/>
  <c r="J109" i="18"/>
  <c r="E105" i="35"/>
  <c r="D105" i="35"/>
  <c r="G104" i="35"/>
  <c r="H106" i="25"/>
  <c r="I106" i="25"/>
  <c r="J102" i="37"/>
  <c r="J103" i="31"/>
  <c r="E105" i="31"/>
  <c r="D105" i="31"/>
  <c r="G104" i="31"/>
  <c r="J106" i="26"/>
  <c r="J103" i="35"/>
  <c r="G108" i="28"/>
  <c r="D109" i="28"/>
  <c r="E109" i="28"/>
  <c r="G103" i="37"/>
  <c r="D104" i="37"/>
  <c r="E104" i="37"/>
  <c r="E108" i="26"/>
  <c r="G107" i="26"/>
  <c r="D108" i="26"/>
  <c r="B107" i="25"/>
  <c r="F107" i="25"/>
  <c r="F106" i="29"/>
  <c r="E107" i="29" s="1"/>
  <c r="D109" i="21"/>
  <c r="G108" i="21"/>
  <c r="E109" i="21"/>
  <c r="D105" i="38"/>
  <c r="E105" i="38" s="1"/>
  <c r="G104" i="38"/>
  <c r="G104" i="34"/>
  <c r="D105" i="34"/>
  <c r="E105" i="34"/>
  <c r="J107" i="27"/>
  <c r="D109" i="24"/>
  <c r="G108" i="24"/>
  <c r="E109" i="24"/>
  <c r="J103" i="34"/>
  <c r="J103" i="38"/>
  <c r="I105" i="29"/>
  <c r="H105" i="29"/>
  <c r="G108" i="27"/>
  <c r="D109" i="27"/>
  <c r="E109" i="27"/>
  <c r="B111" i="19"/>
  <c r="F111" i="19"/>
  <c r="I110" i="19"/>
  <c r="H110" i="19"/>
  <c r="J107" i="24"/>
  <c r="J107" i="21"/>
  <c r="B108" i="22"/>
  <c r="F108" i="22"/>
  <c r="H104" i="20"/>
  <c r="I104" i="20"/>
  <c r="H111" i="3"/>
  <c r="I111" i="3"/>
  <c r="F112" i="3"/>
  <c r="B112" i="3"/>
  <c r="B105" i="20"/>
  <c r="I107" i="22"/>
  <c r="H107" i="22"/>
  <c r="E105" i="20"/>
  <c r="F105" i="20" s="1"/>
  <c r="D110" i="23" l="1"/>
  <c r="G109" i="23"/>
  <c r="I109" i="23" s="1"/>
  <c r="B27" i="24"/>
  <c r="F27" i="24"/>
  <c r="H27" i="24" s="1"/>
  <c r="F110" i="23"/>
  <c r="D111" i="23" s="1"/>
  <c r="J106" i="25"/>
  <c r="E105" i="13"/>
  <c r="F105" i="13" s="1"/>
  <c r="B105" i="13"/>
  <c r="I104" i="13"/>
  <c r="H104" i="13"/>
  <c r="H25" i="22"/>
  <c r="I25" i="22" s="1"/>
  <c r="H22" i="35"/>
  <c r="I22" i="35" s="1"/>
  <c r="G22" i="31"/>
  <c r="I22" i="31" s="1"/>
  <c r="G26" i="23"/>
  <c r="I26" i="23" s="1"/>
  <c r="H26" i="21"/>
  <c r="I26" i="21" s="1"/>
  <c r="G24" i="13"/>
  <c r="I24" i="13" s="1"/>
  <c r="H23" i="29"/>
  <c r="I23" i="29" s="1"/>
  <c r="H26" i="27"/>
  <c r="I26" i="27" s="1"/>
  <c r="D22" i="37"/>
  <c r="E22" i="37"/>
  <c r="D29" i="18"/>
  <c r="E29" i="18"/>
  <c r="I29" i="3"/>
  <c r="H21" i="37"/>
  <c r="D26" i="26"/>
  <c r="E26" i="26"/>
  <c r="H25" i="26"/>
  <c r="H24" i="20"/>
  <c r="B25" i="20"/>
  <c r="E25" i="20"/>
  <c r="F25" i="20" s="1"/>
  <c r="G24" i="20"/>
  <c r="D26" i="22"/>
  <c r="E26" i="22"/>
  <c r="D25" i="13"/>
  <c r="D23" i="31"/>
  <c r="E23" i="31"/>
  <c r="N7" i="20"/>
  <c r="D30" i="4"/>
  <c r="E30" i="4"/>
  <c r="D27" i="23"/>
  <c r="E27" i="23"/>
  <c r="D27" i="21"/>
  <c r="E27" i="21"/>
  <c r="D23" i="34"/>
  <c r="E23" i="34"/>
  <c r="D29" i="19"/>
  <c r="E29" i="19"/>
  <c r="D27" i="28"/>
  <c r="E27" i="28"/>
  <c r="B30" i="3"/>
  <c r="F30" i="3"/>
  <c r="H30" i="3" s="1"/>
  <c r="D23" i="35"/>
  <c r="E23" i="35"/>
  <c r="G21" i="37"/>
  <c r="H29" i="4"/>
  <c r="D21" i="38"/>
  <c r="E21" i="38"/>
  <c r="G22" i="34"/>
  <c r="H26" i="28"/>
  <c r="D27" i="27"/>
  <c r="E27" i="27"/>
  <c r="G28" i="18"/>
  <c r="D25" i="25"/>
  <c r="E25" i="25"/>
  <c r="H20" i="38"/>
  <c r="D24" i="29"/>
  <c r="E24" i="29"/>
  <c r="H24" i="25"/>
  <c r="H22" i="34"/>
  <c r="H28" i="19"/>
  <c r="H28" i="18"/>
  <c r="H110" i="18"/>
  <c r="I110" i="18"/>
  <c r="F112" i="4"/>
  <c r="B112" i="4"/>
  <c r="H111" i="4"/>
  <c r="I111" i="4"/>
  <c r="B111" i="18"/>
  <c r="F111" i="18"/>
  <c r="G107" i="25"/>
  <c r="D108" i="25"/>
  <c r="E108" i="25"/>
  <c r="F108" i="26"/>
  <c r="B108" i="26"/>
  <c r="H108" i="28"/>
  <c r="I108" i="28"/>
  <c r="B109" i="28"/>
  <c r="F109" i="28"/>
  <c r="I107" i="26"/>
  <c r="H107" i="26"/>
  <c r="H104" i="35"/>
  <c r="I104" i="35"/>
  <c r="B104" i="37"/>
  <c r="F104" i="37"/>
  <c r="I104" i="31"/>
  <c r="H104" i="31"/>
  <c r="B105" i="35"/>
  <c r="F105" i="35"/>
  <c r="I103" i="37"/>
  <c r="H103" i="37"/>
  <c r="F105" i="31"/>
  <c r="B105" i="31"/>
  <c r="G106" i="29"/>
  <c r="I106" i="29" s="1"/>
  <c r="D107" i="29"/>
  <c r="F107" i="29" s="1"/>
  <c r="E108" i="29" s="1"/>
  <c r="F109" i="24"/>
  <c r="B109" i="24"/>
  <c r="B105" i="38"/>
  <c r="F105" i="38"/>
  <c r="H104" i="34"/>
  <c r="I104" i="34"/>
  <c r="J110" i="19"/>
  <c r="H108" i="24"/>
  <c r="I108" i="24"/>
  <c r="D112" i="19"/>
  <c r="G111" i="19"/>
  <c r="E112" i="19"/>
  <c r="F109" i="27"/>
  <c r="B109" i="27"/>
  <c r="I108" i="21"/>
  <c r="H108" i="21"/>
  <c r="H104" i="38"/>
  <c r="I104" i="38"/>
  <c r="H108" i="27"/>
  <c r="I108" i="27"/>
  <c r="F109" i="21"/>
  <c r="B109" i="21"/>
  <c r="J105" i="29"/>
  <c r="B105" i="34"/>
  <c r="F105" i="34"/>
  <c r="G105" i="20"/>
  <c r="D106" i="20"/>
  <c r="E106" i="20" s="1"/>
  <c r="J104" i="20"/>
  <c r="D113" i="3"/>
  <c r="G112" i="3"/>
  <c r="E113" i="3"/>
  <c r="G108" i="22"/>
  <c r="D109" i="22"/>
  <c r="E109" i="22"/>
  <c r="J107" i="22"/>
  <c r="J111" i="3"/>
  <c r="F22" i="17"/>
  <c r="H109" i="23" l="1"/>
  <c r="J109" i="23" s="1"/>
  <c r="G110" i="23"/>
  <c r="H110" i="23" s="1"/>
  <c r="G27" i="24"/>
  <c r="I27" i="24" s="1"/>
  <c r="D28" i="24"/>
  <c r="E28" i="24"/>
  <c r="E111" i="23"/>
  <c r="F111" i="23" s="1"/>
  <c r="D112" i="23" s="1"/>
  <c r="G30" i="3"/>
  <c r="I30" i="3" s="1"/>
  <c r="H106" i="29"/>
  <c r="J106" i="29" s="1"/>
  <c r="J104" i="31"/>
  <c r="G107" i="29"/>
  <c r="H107" i="29" s="1"/>
  <c r="J104" i="13"/>
  <c r="D106" i="13"/>
  <c r="G105" i="13"/>
  <c r="J110" i="18"/>
  <c r="G22" i="17"/>
  <c r="G38" i="17" s="1"/>
  <c r="F38" i="17"/>
  <c r="B30" i="4"/>
  <c r="F30" i="4"/>
  <c r="H30" i="4" s="1"/>
  <c r="J111" i="4"/>
  <c r="I22" i="34"/>
  <c r="F21" i="38"/>
  <c r="G21" i="38" s="1"/>
  <c r="B21" i="38"/>
  <c r="F23" i="34"/>
  <c r="H23" i="34" s="1"/>
  <c r="B23" i="34"/>
  <c r="I24" i="25"/>
  <c r="I29" i="4"/>
  <c r="B25" i="13"/>
  <c r="B27" i="27"/>
  <c r="F27" i="27"/>
  <c r="H27" i="27" s="1"/>
  <c r="F27" i="21"/>
  <c r="G27" i="21" s="1"/>
  <c r="B27" i="21"/>
  <c r="E25" i="13"/>
  <c r="F25" i="13" s="1"/>
  <c r="F29" i="18"/>
  <c r="B29" i="18"/>
  <c r="F24" i="29"/>
  <c r="G24" i="29" s="1"/>
  <c r="I26" i="28"/>
  <c r="I28" i="19"/>
  <c r="B23" i="31"/>
  <c r="F23" i="31"/>
  <c r="H23" i="31" s="1"/>
  <c r="I20" i="38"/>
  <c r="F23" i="35"/>
  <c r="G23" i="35" s="1"/>
  <c r="B23" i="35"/>
  <c r="F27" i="28"/>
  <c r="B27" i="28"/>
  <c r="F27" i="23"/>
  <c r="G27" i="23" s="1"/>
  <c r="B27" i="23"/>
  <c r="R129" i="1"/>
  <c r="O19" i="1"/>
  <c r="N20" i="1"/>
  <c r="F26" i="22"/>
  <c r="H26" i="22" s="1"/>
  <c r="B26" i="22"/>
  <c r="G25" i="20"/>
  <c r="B26" i="20"/>
  <c r="H25" i="20"/>
  <c r="E26" i="20"/>
  <c r="F26" i="20" s="1"/>
  <c r="B22" i="37"/>
  <c r="F22" i="37"/>
  <c r="H22" i="37" s="1"/>
  <c r="I25" i="26"/>
  <c r="B26" i="26"/>
  <c r="F26" i="26"/>
  <c r="G26" i="26" s="1"/>
  <c r="D108" i="29"/>
  <c r="F108" i="29" s="1"/>
  <c r="I28" i="18"/>
  <c r="F25" i="25"/>
  <c r="G25" i="25" s="1"/>
  <c r="B25" i="25"/>
  <c r="D31" i="3"/>
  <c r="E31" i="3"/>
  <c r="F29" i="19"/>
  <c r="H29" i="19" s="1"/>
  <c r="B29" i="19"/>
  <c r="I24" i="20"/>
  <c r="I21" i="37"/>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D110" i="28"/>
  <c r="E110" i="28"/>
  <c r="G109" i="28"/>
  <c r="H107" i="25"/>
  <c r="I107" i="25"/>
  <c r="J108" i="27"/>
  <c r="G109" i="24"/>
  <c r="D110" i="24"/>
  <c r="E110" i="24"/>
  <c r="I111" i="19"/>
  <c r="H111" i="19"/>
  <c r="D106" i="38"/>
  <c r="G105" i="38"/>
  <c r="B112" i="19"/>
  <c r="F112" i="19"/>
  <c r="D106" i="34"/>
  <c r="G105" i="34"/>
  <c r="E106" i="34"/>
  <c r="G109" i="21"/>
  <c r="D110" i="21"/>
  <c r="E110" i="21"/>
  <c r="J108" i="21"/>
  <c r="J104" i="34"/>
  <c r="J104" i="38"/>
  <c r="G109" i="27"/>
  <c r="D110" i="27"/>
  <c r="E110" i="27"/>
  <c r="J108" i="24"/>
  <c r="H108" i="22"/>
  <c r="I108" i="22"/>
  <c r="I112" i="3"/>
  <c r="H112" i="3"/>
  <c r="F109" i="22"/>
  <c r="B109" i="22"/>
  <c r="F113" i="3"/>
  <c r="B113" i="3"/>
  <c r="F106" i="20"/>
  <c r="B106" i="20"/>
  <c r="I105" i="20"/>
  <c r="H105" i="20"/>
  <c r="I110" i="23" l="1"/>
  <c r="J110" i="23" s="1"/>
  <c r="G111" i="23"/>
  <c r="H111" i="23" s="1"/>
  <c r="E112" i="23"/>
  <c r="F112" i="23" s="1"/>
  <c r="G112" i="23" s="1"/>
  <c r="F28" i="24"/>
  <c r="G28" i="24" s="1"/>
  <c r="B28" i="24"/>
  <c r="I107" i="29"/>
  <c r="J107" i="29" s="1"/>
  <c r="J107" i="25"/>
  <c r="I105" i="13"/>
  <c r="H105" i="13"/>
  <c r="E106" i="13"/>
  <c r="F106" i="13" s="1"/>
  <c r="B106" i="13"/>
  <c r="G22" i="37"/>
  <c r="I22" i="37" s="1"/>
  <c r="G23" i="31"/>
  <c r="I23" i="31" s="1"/>
  <c r="H21" i="38"/>
  <c r="I21" i="38" s="1"/>
  <c r="H27" i="23"/>
  <c r="I27" i="23" s="1"/>
  <c r="I111" i="23"/>
  <c r="H23" i="35"/>
  <c r="I23" i="35" s="1"/>
  <c r="G29" i="19"/>
  <c r="I29" i="19" s="1"/>
  <c r="E109" i="29"/>
  <c r="G108" i="29"/>
  <c r="H108" i="29" s="1"/>
  <c r="D109" i="29"/>
  <c r="D28" i="28"/>
  <c r="E28" i="28" s="1"/>
  <c r="D30" i="18"/>
  <c r="E30" i="18"/>
  <c r="I25" i="20"/>
  <c r="R130" i="1"/>
  <c r="O20" i="1"/>
  <c r="H27" i="28"/>
  <c r="D24" i="31"/>
  <c r="E24" i="31"/>
  <c r="G29" i="18"/>
  <c r="D24" i="34"/>
  <c r="E24" i="34"/>
  <c r="D31" i="4"/>
  <c r="E31" i="4"/>
  <c r="D30" i="19"/>
  <c r="E30" i="19"/>
  <c r="G27" i="28"/>
  <c r="H24" i="29"/>
  <c r="D28" i="27"/>
  <c r="E28" i="27"/>
  <c r="D26" i="25"/>
  <c r="E26" i="25"/>
  <c r="F31" i="3"/>
  <c r="B31" i="3"/>
  <c r="D27" i="26"/>
  <c r="E27" i="26"/>
  <c r="G27" i="27"/>
  <c r="I27" i="27" s="1"/>
  <c r="G30" i="4"/>
  <c r="I30" i="4" s="1"/>
  <c r="D27" i="22"/>
  <c r="E27" i="22"/>
  <c r="D26" i="13"/>
  <c r="E26" i="13" s="1"/>
  <c r="E27" i="20"/>
  <c r="F27" i="20" s="1"/>
  <c r="H26" i="20"/>
  <c r="G26" i="20"/>
  <c r="B27" i="20"/>
  <c r="D23" i="37"/>
  <c r="E23" i="37"/>
  <c r="G26" i="22"/>
  <c r="I26" i="22" s="1"/>
  <c r="D28" i="21"/>
  <c r="E28" i="21"/>
  <c r="H25" i="13"/>
  <c r="D22" i="38"/>
  <c r="E22" i="38"/>
  <c r="D25" i="29"/>
  <c r="E25" i="29"/>
  <c r="H25" i="25"/>
  <c r="H26" i="26"/>
  <c r="D28" i="23"/>
  <c r="E28" i="23"/>
  <c r="D24" i="35"/>
  <c r="E24" i="35"/>
  <c r="H29" i="18"/>
  <c r="H27" i="21"/>
  <c r="G25" i="13"/>
  <c r="G23" i="34"/>
  <c r="I23" i="34" s="1"/>
  <c r="F39" i="17"/>
  <c r="F113" i="4"/>
  <c r="B113" i="4"/>
  <c r="H111" i="18"/>
  <c r="I111" i="18"/>
  <c r="I112" i="4"/>
  <c r="H112" i="4"/>
  <c r="B112" i="18"/>
  <c r="F112" i="18"/>
  <c r="G108" i="25"/>
  <c r="E109" i="25"/>
  <c r="D109" i="25"/>
  <c r="F106" i="35"/>
  <c r="B106" i="35"/>
  <c r="B106" i="31"/>
  <c r="F106" i="31"/>
  <c r="I105" i="31"/>
  <c r="H105" i="31"/>
  <c r="I109" i="28"/>
  <c r="H109" i="28"/>
  <c r="I105" i="35"/>
  <c r="H105" i="35"/>
  <c r="H104" i="37"/>
  <c r="I104" i="37"/>
  <c r="F109" i="26"/>
  <c r="B109" i="26"/>
  <c r="F110" i="28"/>
  <c r="B110" i="28"/>
  <c r="I108" i="26"/>
  <c r="H108" i="26"/>
  <c r="F105" i="37"/>
  <c r="B105" i="37"/>
  <c r="B110" i="27"/>
  <c r="F110" i="27"/>
  <c r="G112" i="19"/>
  <c r="D113" i="19"/>
  <c r="E113" i="19"/>
  <c r="I109" i="27"/>
  <c r="H109" i="27"/>
  <c r="J111" i="19"/>
  <c r="H109" i="21"/>
  <c r="I109" i="21"/>
  <c r="H105" i="38"/>
  <c r="I105" i="38"/>
  <c r="H105" i="34"/>
  <c r="I105" i="34"/>
  <c r="B106" i="38"/>
  <c r="F110" i="24"/>
  <c r="B110" i="24"/>
  <c r="F110" i="21"/>
  <c r="B110" i="21"/>
  <c r="B106" i="34"/>
  <c r="F106" i="34"/>
  <c r="E106" i="38"/>
  <c r="F106" i="38" s="1"/>
  <c r="I109" i="24"/>
  <c r="H109" i="24"/>
  <c r="J112" i="3"/>
  <c r="G109" i="22"/>
  <c r="D110" i="22"/>
  <c r="E110" i="22"/>
  <c r="J108" i="22"/>
  <c r="G106" i="20"/>
  <c r="D107" i="20"/>
  <c r="E107" i="20" s="1"/>
  <c r="E114" i="3"/>
  <c r="G113" i="3"/>
  <c r="D114" i="3"/>
  <c r="J105" i="20"/>
  <c r="E113" i="23" l="1"/>
  <c r="J111" i="23"/>
  <c r="D113" i="23"/>
  <c r="F113" i="23" s="1"/>
  <c r="D114" i="23" s="1"/>
  <c r="H112" i="23"/>
  <c r="I112" i="23"/>
  <c r="H28" i="24"/>
  <c r="I28" i="24" s="1"/>
  <c r="D29" i="24"/>
  <c r="E29" i="24"/>
  <c r="I108" i="29"/>
  <c r="J108" i="29" s="1"/>
  <c r="F109" i="29"/>
  <c r="E110" i="29" s="1"/>
  <c r="J105" i="31"/>
  <c r="G106" i="13"/>
  <c r="D107" i="13"/>
  <c r="J105" i="13"/>
  <c r="I26" i="20"/>
  <c r="I25" i="25"/>
  <c r="B26" i="13"/>
  <c r="F26" i="13"/>
  <c r="G26" i="13" s="1"/>
  <c r="B24" i="34"/>
  <c r="F24" i="34"/>
  <c r="H24" i="34" s="1"/>
  <c r="D32" i="3"/>
  <c r="D33" i="3"/>
  <c r="E32" i="3"/>
  <c r="E33" i="3"/>
  <c r="I27" i="21"/>
  <c r="B23" i="37"/>
  <c r="F23" i="37"/>
  <c r="G23" i="37" s="1"/>
  <c r="B26" i="25"/>
  <c r="F26" i="25"/>
  <c r="G26" i="25" s="1"/>
  <c r="J111" i="18"/>
  <c r="I29" i="18"/>
  <c r="F22" i="38"/>
  <c r="G22" i="38" s="1"/>
  <c r="B22" i="38"/>
  <c r="F27" i="22"/>
  <c r="B27" i="22"/>
  <c r="F27" i="26"/>
  <c r="H27" i="26" s="1"/>
  <c r="B27" i="26"/>
  <c r="B30" i="18"/>
  <c r="F30" i="18"/>
  <c r="G30" i="18" s="1"/>
  <c r="I26" i="26"/>
  <c r="F25" i="29"/>
  <c r="G25" i="29" s="1"/>
  <c r="I25" i="13"/>
  <c r="B30" i="19"/>
  <c r="F30" i="19"/>
  <c r="B24" i="35"/>
  <c r="F24" i="35"/>
  <c r="H24" i="35" s="1"/>
  <c r="H31" i="3"/>
  <c r="B28" i="27"/>
  <c r="F28" i="27"/>
  <c r="H28" i="27" s="1"/>
  <c r="F24" i="31"/>
  <c r="H24" i="31" s="1"/>
  <c r="B24" i="31"/>
  <c r="F28" i="28"/>
  <c r="H28" i="28" s="1"/>
  <c r="B28" i="28"/>
  <c r="B28" i="21"/>
  <c r="F28" i="21"/>
  <c r="H28" i="21" s="1"/>
  <c r="I24" i="29"/>
  <c r="I27" i="28"/>
  <c r="B28" i="23"/>
  <c r="F28" i="23"/>
  <c r="G28" i="23" s="1"/>
  <c r="B28" i="20"/>
  <c r="E28" i="20"/>
  <c r="F28" i="20" s="1"/>
  <c r="G27" i="20"/>
  <c r="H27" i="20"/>
  <c r="G31" i="3"/>
  <c r="F31" i="4"/>
  <c r="G31" i="4" s="1"/>
  <c r="B31" i="4"/>
  <c r="J104" i="37"/>
  <c r="J112" i="4"/>
  <c r="G112" i="18"/>
  <c r="E113" i="18"/>
  <c r="D113" i="18"/>
  <c r="D114" i="4"/>
  <c r="G113" i="4"/>
  <c r="E114" i="4"/>
  <c r="E110" i="26"/>
  <c r="D110" i="26"/>
  <c r="G109" i="26"/>
  <c r="E107" i="31"/>
  <c r="D107" i="31"/>
  <c r="G106" i="31"/>
  <c r="E106" i="37"/>
  <c r="D106" i="37"/>
  <c r="G105" i="37"/>
  <c r="J108" i="26"/>
  <c r="J105" i="35"/>
  <c r="G106" i="35"/>
  <c r="D107" i="35"/>
  <c r="E107" i="35"/>
  <c r="F109" i="25"/>
  <c r="B109" i="25"/>
  <c r="G110" i="28"/>
  <c r="D111" i="28"/>
  <c r="E111" i="28"/>
  <c r="J109" i="28"/>
  <c r="H108" i="25"/>
  <c r="I108" i="25"/>
  <c r="D107" i="38"/>
  <c r="E107" i="38" s="1"/>
  <c r="G106" i="38"/>
  <c r="J105" i="38"/>
  <c r="J109" i="21"/>
  <c r="J105" i="34"/>
  <c r="D107" i="34"/>
  <c r="G106" i="34"/>
  <c r="E107" i="34"/>
  <c r="J109" i="27"/>
  <c r="F113" i="19"/>
  <c r="B113" i="19"/>
  <c r="H112" i="19"/>
  <c r="I112" i="19"/>
  <c r="J109" i="24"/>
  <c r="D111" i="24"/>
  <c r="G110" i="24"/>
  <c r="E111" i="24"/>
  <c r="D111" i="27"/>
  <c r="G110" i="27"/>
  <c r="E111" i="27"/>
  <c r="G110" i="21"/>
  <c r="D111" i="21"/>
  <c r="E111" i="21"/>
  <c r="H109" i="22"/>
  <c r="I109" i="22"/>
  <c r="I106" i="20"/>
  <c r="H106" i="20"/>
  <c r="B114" i="3"/>
  <c r="F114" i="3"/>
  <c r="F110" i="22"/>
  <c r="B110" i="22"/>
  <c r="F107" i="20"/>
  <c r="B107" i="20"/>
  <c r="H113" i="3"/>
  <c r="I113" i="3"/>
  <c r="J112" i="23" l="1"/>
  <c r="G113" i="23"/>
  <c r="H113" i="23" s="1"/>
  <c r="E114" i="23"/>
  <c r="B29" i="24"/>
  <c r="F29" i="24"/>
  <c r="H29" i="24" s="1"/>
  <c r="G109" i="29"/>
  <c r="D110" i="29"/>
  <c r="F110" i="29" s="1"/>
  <c r="G110" i="29" s="1"/>
  <c r="H110" i="29" s="1"/>
  <c r="J113" i="3"/>
  <c r="E107" i="13"/>
  <c r="F107" i="13" s="1"/>
  <c r="B107" i="13"/>
  <c r="I106" i="13"/>
  <c r="H106" i="13"/>
  <c r="G24" i="31"/>
  <c r="I24" i="31" s="1"/>
  <c r="H31" i="4"/>
  <c r="I31" i="4" s="1"/>
  <c r="G28" i="28"/>
  <c r="I28" i="28" s="1"/>
  <c r="G24" i="34"/>
  <c r="I24" i="34" s="1"/>
  <c r="H25" i="29"/>
  <c r="I25" i="29" s="1"/>
  <c r="I27" i="20"/>
  <c r="G24" i="35"/>
  <c r="I24" i="35" s="1"/>
  <c r="H28" i="23"/>
  <c r="I28" i="23" s="1"/>
  <c r="G27" i="26"/>
  <c r="I27" i="26" s="1"/>
  <c r="H26" i="13"/>
  <c r="I26" i="13" s="1"/>
  <c r="D23" i="38"/>
  <c r="E23" i="38"/>
  <c r="D29" i="27"/>
  <c r="E29" i="27"/>
  <c r="D31" i="19"/>
  <c r="E31" i="19"/>
  <c r="D27" i="25"/>
  <c r="E27" i="25"/>
  <c r="D29" i="21"/>
  <c r="E29" i="21"/>
  <c r="G28" i="27"/>
  <c r="I28" i="27" s="1"/>
  <c r="D28" i="26"/>
  <c r="E28" i="26"/>
  <c r="H22" i="38"/>
  <c r="B33" i="3"/>
  <c r="F33" i="3"/>
  <c r="D27" i="13"/>
  <c r="E27" i="13" s="1"/>
  <c r="D32" i="4"/>
  <c r="E32" i="4"/>
  <c r="E33" i="4"/>
  <c r="D29" i="28"/>
  <c r="E29" i="28" s="1"/>
  <c r="H30" i="19"/>
  <c r="D24" i="37"/>
  <c r="E24" i="37"/>
  <c r="F32" i="3"/>
  <c r="H32" i="3" s="1"/>
  <c r="E29" i="23"/>
  <c r="D29" i="23"/>
  <c r="I31" i="3"/>
  <c r="G30" i="19"/>
  <c r="D31" i="18"/>
  <c r="E31" i="18"/>
  <c r="D28" i="22"/>
  <c r="E28" i="22"/>
  <c r="E29" i="20"/>
  <c r="F29" i="20" s="1"/>
  <c r="H28" i="20"/>
  <c r="G28" i="20"/>
  <c r="B29" i="20"/>
  <c r="G28" i="21"/>
  <c r="I28" i="21" s="1"/>
  <c r="H27" i="22"/>
  <c r="H23" i="37"/>
  <c r="D25" i="34"/>
  <c r="E25" i="34"/>
  <c r="D25" i="31"/>
  <c r="E25" i="31"/>
  <c r="D25" i="35"/>
  <c r="E25" i="35"/>
  <c r="D26" i="29"/>
  <c r="E26" i="29"/>
  <c r="H30" i="18"/>
  <c r="G27" i="22"/>
  <c r="H26" i="25"/>
  <c r="I26" i="25" s="1"/>
  <c r="I113" i="4"/>
  <c r="H113" i="4"/>
  <c r="B113" i="18"/>
  <c r="F113" i="18"/>
  <c r="I112" i="18"/>
  <c r="H112" i="18"/>
  <c r="B114" i="4"/>
  <c r="F114" i="4"/>
  <c r="B106" i="37"/>
  <c r="F106" i="37"/>
  <c r="D110" i="25"/>
  <c r="G109" i="25"/>
  <c r="E110" i="25"/>
  <c r="J108" i="25"/>
  <c r="H106" i="31"/>
  <c r="I106" i="31"/>
  <c r="F107" i="35"/>
  <c r="B107" i="35"/>
  <c r="B107" i="31"/>
  <c r="F107" i="31"/>
  <c r="H106" i="35"/>
  <c r="I106" i="35"/>
  <c r="I109" i="26"/>
  <c r="H109" i="26"/>
  <c r="B111" i="28"/>
  <c r="F111" i="28"/>
  <c r="F110" i="26"/>
  <c r="B110" i="26"/>
  <c r="H110" i="28"/>
  <c r="I110" i="28"/>
  <c r="H105" i="37"/>
  <c r="I105" i="37"/>
  <c r="H110" i="27"/>
  <c r="I110" i="27"/>
  <c r="B111" i="24"/>
  <c r="F111" i="24"/>
  <c r="I106" i="34"/>
  <c r="H106" i="34"/>
  <c r="B111" i="27"/>
  <c r="F111" i="27"/>
  <c r="B107" i="34"/>
  <c r="F107" i="34"/>
  <c r="F114" i="23"/>
  <c r="E115" i="23" s="1"/>
  <c r="J112" i="19"/>
  <c r="D114" i="19"/>
  <c r="G113" i="19"/>
  <c r="E114" i="19"/>
  <c r="J109" i="22"/>
  <c r="H106" i="38"/>
  <c r="I106" i="38"/>
  <c r="B111" i="21"/>
  <c r="F111" i="21"/>
  <c r="H110" i="24"/>
  <c r="I110" i="24"/>
  <c r="H110" i="21"/>
  <c r="I110" i="21"/>
  <c r="B107" i="38"/>
  <c r="F107" i="38"/>
  <c r="G110" i="22"/>
  <c r="D111" i="22"/>
  <c r="E111" i="22"/>
  <c r="E115" i="3"/>
  <c r="G114" i="3"/>
  <c r="D115" i="3"/>
  <c r="G107" i="20"/>
  <c r="D108" i="20"/>
  <c r="E108" i="20" s="1"/>
  <c r="J106" i="20"/>
  <c r="I113" i="23"/>
  <c r="E111" i="29" l="1"/>
  <c r="D111" i="29"/>
  <c r="F111" i="29" s="1"/>
  <c r="I110" i="29"/>
  <c r="J110" i="29" s="1"/>
  <c r="G29" i="24"/>
  <c r="I29" i="24" s="1"/>
  <c r="D30" i="24"/>
  <c r="E30" i="24"/>
  <c r="I109" i="29"/>
  <c r="H109" i="29"/>
  <c r="J106" i="13"/>
  <c r="J110" i="28"/>
  <c r="J106" i="35"/>
  <c r="D108" i="13"/>
  <c r="G107" i="13"/>
  <c r="I28" i="20"/>
  <c r="I30" i="19"/>
  <c r="F25" i="31"/>
  <c r="H25" i="31" s="1"/>
  <c r="B25" i="31"/>
  <c r="I23" i="37"/>
  <c r="B29" i="28"/>
  <c r="F29" i="28"/>
  <c r="G29" i="28" s="1"/>
  <c r="D34" i="3"/>
  <c r="E34" i="3"/>
  <c r="B29" i="21"/>
  <c r="F29" i="21"/>
  <c r="F29" i="27"/>
  <c r="G29" i="27" s="1"/>
  <c r="B29" i="27"/>
  <c r="I27" i="22"/>
  <c r="F28" i="22"/>
  <c r="B28" i="22"/>
  <c r="G32" i="3"/>
  <c r="I32" i="3" s="1"/>
  <c r="G33" i="3"/>
  <c r="F31" i="18"/>
  <c r="G31" i="18" s="1"/>
  <c r="B31" i="18"/>
  <c r="I22" i="38"/>
  <c r="F23" i="38"/>
  <c r="G23" i="38" s="1"/>
  <c r="B23" i="38"/>
  <c r="I30" i="18"/>
  <c r="F26" i="29"/>
  <c r="B32" i="4"/>
  <c r="F32" i="4"/>
  <c r="D33" i="4" s="1"/>
  <c r="B27" i="25"/>
  <c r="F27" i="25"/>
  <c r="B24" i="37"/>
  <c r="F24" i="37"/>
  <c r="G24" i="37" s="1"/>
  <c r="B27" i="13"/>
  <c r="F27" i="13"/>
  <c r="H27" i="13" s="1"/>
  <c r="F28" i="26"/>
  <c r="G28" i="26" s="1"/>
  <c r="B28" i="26"/>
  <c r="F25" i="35"/>
  <c r="H25" i="35" s="1"/>
  <c r="B25" i="35"/>
  <c r="B31" i="19"/>
  <c r="F31" i="19"/>
  <c r="H31" i="19" s="1"/>
  <c r="F25" i="34"/>
  <c r="H25" i="34" s="1"/>
  <c r="B25" i="34"/>
  <c r="G29" i="20"/>
  <c r="H29" i="20"/>
  <c r="B30" i="20"/>
  <c r="E30" i="20"/>
  <c r="F30" i="20" s="1"/>
  <c r="B29" i="23"/>
  <c r="F29" i="23"/>
  <c r="G29" i="23" s="1"/>
  <c r="H33" i="3"/>
  <c r="D115" i="4"/>
  <c r="E115" i="4"/>
  <c r="G114" i="4"/>
  <c r="J112" i="18"/>
  <c r="G113" i="18"/>
  <c r="D114" i="18"/>
  <c r="E114" i="18"/>
  <c r="J109" i="26"/>
  <c r="D115" i="23"/>
  <c r="F115" i="23" s="1"/>
  <c r="G114" i="23"/>
  <c r="I114" i="23" s="1"/>
  <c r="J113" i="4"/>
  <c r="J106" i="38"/>
  <c r="J105" i="37"/>
  <c r="J106" i="31"/>
  <c r="E108" i="31"/>
  <c r="G107" i="31"/>
  <c r="D108" i="31"/>
  <c r="I109" i="25"/>
  <c r="H109" i="25"/>
  <c r="F110" i="25"/>
  <c r="B110" i="25"/>
  <c r="D111" i="26"/>
  <c r="G110" i="26"/>
  <c r="E111" i="26"/>
  <c r="G111" i="28"/>
  <c r="E112" i="28"/>
  <c r="D112" i="28"/>
  <c r="G106" i="37"/>
  <c r="E107" i="37"/>
  <c r="D107" i="37"/>
  <c r="J110" i="24"/>
  <c r="G107" i="35"/>
  <c r="D108" i="35"/>
  <c r="E108" i="35"/>
  <c r="J110" i="27"/>
  <c r="F114" i="19"/>
  <c r="B114" i="19"/>
  <c r="J106" i="34"/>
  <c r="H113" i="19"/>
  <c r="I113" i="19"/>
  <c r="D108" i="38"/>
  <c r="E108" i="38" s="1"/>
  <c r="G107" i="38"/>
  <c r="G107" i="34"/>
  <c r="D108" i="34"/>
  <c r="E108" i="34"/>
  <c r="G111" i="24"/>
  <c r="D112" i="24"/>
  <c r="E112" i="24"/>
  <c r="D112" i="27"/>
  <c r="G111" i="27"/>
  <c r="E112" i="27"/>
  <c r="D112" i="21"/>
  <c r="G111" i="21"/>
  <c r="E112" i="21"/>
  <c r="J110" i="21"/>
  <c r="I107" i="20"/>
  <c r="H107" i="20"/>
  <c r="F115" i="3"/>
  <c r="B115" i="3"/>
  <c r="H114" i="3"/>
  <c r="I114" i="3"/>
  <c r="B111" i="22"/>
  <c r="F111" i="22"/>
  <c r="B108" i="20"/>
  <c r="F108" i="20"/>
  <c r="J113" i="23"/>
  <c r="I110" i="22"/>
  <c r="H110" i="22"/>
  <c r="G111" i="29" l="1"/>
  <c r="D112" i="29"/>
  <c r="E112" i="29"/>
  <c r="B30" i="24"/>
  <c r="F30" i="24"/>
  <c r="G30" i="24" s="1"/>
  <c r="J109" i="29"/>
  <c r="H28" i="26"/>
  <c r="I28" i="26" s="1"/>
  <c r="I107" i="13"/>
  <c r="H107" i="13"/>
  <c r="E108" i="13"/>
  <c r="F108" i="13" s="1"/>
  <c r="B108" i="13"/>
  <c r="I33" i="3"/>
  <c r="H29" i="23"/>
  <c r="I29" i="23" s="1"/>
  <c r="H24" i="37"/>
  <c r="I24" i="37" s="1"/>
  <c r="H23" i="38"/>
  <c r="I23" i="38" s="1"/>
  <c r="H31" i="18"/>
  <c r="I31" i="18" s="1"/>
  <c r="G25" i="31"/>
  <c r="I25" i="31" s="1"/>
  <c r="I29" i="20"/>
  <c r="H29" i="28"/>
  <c r="I29" i="28" s="1"/>
  <c r="D27" i="29"/>
  <c r="E27" i="29"/>
  <c r="D32" i="19"/>
  <c r="E32" i="19"/>
  <c r="E33" i="19"/>
  <c r="G32" i="4"/>
  <c r="D29" i="22"/>
  <c r="E29" i="22"/>
  <c r="D30" i="21"/>
  <c r="E30" i="21"/>
  <c r="H114" i="23"/>
  <c r="J114" i="23" s="1"/>
  <c r="D29" i="26"/>
  <c r="E29" i="26"/>
  <c r="G28" i="22"/>
  <c r="G29" i="21"/>
  <c r="D28" i="13"/>
  <c r="D28" i="25"/>
  <c r="E28" i="25"/>
  <c r="D32" i="18"/>
  <c r="E33" i="18"/>
  <c r="E32" i="18"/>
  <c r="H32" i="4"/>
  <c r="H29" i="21"/>
  <c r="E30" i="23"/>
  <c r="D30" i="23"/>
  <c r="D26" i="34"/>
  <c r="E26" i="34"/>
  <c r="D26" i="35"/>
  <c r="E26" i="35"/>
  <c r="F34" i="3"/>
  <c r="B34" i="3"/>
  <c r="F33" i="4"/>
  <c r="H33" i="4" s="1"/>
  <c r="B33" i="4"/>
  <c r="G25" i="34"/>
  <c r="I25" i="34" s="1"/>
  <c r="G25" i="35"/>
  <c r="I25" i="35" s="1"/>
  <c r="G27" i="13"/>
  <c r="I27" i="13" s="1"/>
  <c r="G27" i="25"/>
  <c r="H26" i="29"/>
  <c r="D24" i="38"/>
  <c r="E24" i="38"/>
  <c r="D30" i="27"/>
  <c r="E30" i="27"/>
  <c r="D30" i="28"/>
  <c r="E30" i="28"/>
  <c r="G30" i="20"/>
  <c r="H30" i="20"/>
  <c r="B31" i="20"/>
  <c r="E31" i="20"/>
  <c r="F31" i="20" s="1"/>
  <c r="G31" i="19"/>
  <c r="I31" i="19" s="1"/>
  <c r="D25" i="37"/>
  <c r="E25" i="37"/>
  <c r="H27" i="25"/>
  <c r="G26" i="29"/>
  <c r="H28" i="22"/>
  <c r="H29" i="27"/>
  <c r="I29" i="27" s="1"/>
  <c r="D26" i="31"/>
  <c r="E26" i="31"/>
  <c r="F115" i="4"/>
  <c r="B115" i="4"/>
  <c r="F114" i="18"/>
  <c r="B114" i="18"/>
  <c r="H113" i="18"/>
  <c r="I113" i="18"/>
  <c r="I114" i="4"/>
  <c r="H114" i="4"/>
  <c r="J109" i="25"/>
  <c r="B112" i="28"/>
  <c r="F112" i="28"/>
  <c r="B108" i="35"/>
  <c r="F108" i="35"/>
  <c r="I111" i="28"/>
  <c r="H111" i="28"/>
  <c r="B108" i="31"/>
  <c r="F108" i="31"/>
  <c r="H107" i="35"/>
  <c r="I107" i="35"/>
  <c r="I107" i="31"/>
  <c r="H107" i="31"/>
  <c r="H110" i="26"/>
  <c r="I110" i="26"/>
  <c r="B111" i="26"/>
  <c r="F111" i="26"/>
  <c r="B107" i="37"/>
  <c r="F107" i="37"/>
  <c r="J113" i="19"/>
  <c r="I106" i="37"/>
  <c r="H106" i="37"/>
  <c r="D111" i="25"/>
  <c r="G110" i="25"/>
  <c r="E111" i="25"/>
  <c r="I111" i="21"/>
  <c r="H111" i="21"/>
  <c r="I107" i="34"/>
  <c r="H107" i="34"/>
  <c r="F108" i="38"/>
  <c r="B108" i="38"/>
  <c r="B112" i="21"/>
  <c r="F112" i="21"/>
  <c r="H111" i="29"/>
  <c r="I111" i="29"/>
  <c r="H111" i="27"/>
  <c r="I111" i="27"/>
  <c r="D115" i="19"/>
  <c r="G114" i="19"/>
  <c r="E115" i="19"/>
  <c r="B112" i="27"/>
  <c r="F112" i="27"/>
  <c r="F112" i="24"/>
  <c r="B112" i="24"/>
  <c r="I111" i="24"/>
  <c r="H111" i="24"/>
  <c r="J114" i="3"/>
  <c r="B108" i="34"/>
  <c r="F108" i="34"/>
  <c r="H107" i="38"/>
  <c r="I107" i="38"/>
  <c r="G111" i="22"/>
  <c r="D112" i="22"/>
  <c r="E112" i="22"/>
  <c r="D116" i="3"/>
  <c r="G115" i="3"/>
  <c r="E116" i="3"/>
  <c r="J107" i="20"/>
  <c r="J110" i="22"/>
  <c r="G115" i="23"/>
  <c r="E116" i="23"/>
  <c r="D116" i="23"/>
  <c r="G108" i="20"/>
  <c r="D109" i="20"/>
  <c r="E109" i="20" s="1"/>
  <c r="F112" i="29" l="1"/>
  <c r="G112" i="29" s="1"/>
  <c r="E113" i="29"/>
  <c r="H30" i="24"/>
  <c r="I30" i="24" s="1"/>
  <c r="D31" i="24"/>
  <c r="E31" i="24"/>
  <c r="F116" i="23"/>
  <c r="G116" i="23" s="1"/>
  <c r="D113" i="29"/>
  <c r="F113" i="29" s="1"/>
  <c r="D109" i="13"/>
  <c r="G108" i="13"/>
  <c r="J107" i="13"/>
  <c r="I30" i="20"/>
  <c r="I28" i="22"/>
  <c r="I29" i="21"/>
  <c r="J114" i="4"/>
  <c r="D35" i="3"/>
  <c r="E35" i="3"/>
  <c r="F26" i="34"/>
  <c r="H26" i="34" s="1"/>
  <c r="B26" i="34"/>
  <c r="F32" i="18"/>
  <c r="D33" i="18" s="1"/>
  <c r="B32" i="18"/>
  <c r="B29" i="22"/>
  <c r="F29" i="22"/>
  <c r="H29" i="22" s="1"/>
  <c r="F24" i="38"/>
  <c r="H24" i="38" s="1"/>
  <c r="B24" i="38"/>
  <c r="D34" i="4"/>
  <c r="E34" i="4"/>
  <c r="F30" i="23"/>
  <c r="B30" i="23"/>
  <c r="J111" i="21"/>
  <c r="I27" i="25"/>
  <c r="I26" i="29"/>
  <c r="G33" i="4"/>
  <c r="I33" i="4" s="1"/>
  <c r="B28" i="25"/>
  <c r="F28" i="25"/>
  <c r="G28" i="25" s="1"/>
  <c r="B28" i="13"/>
  <c r="B29" i="26"/>
  <c r="F29" i="26"/>
  <c r="H29" i="26" s="1"/>
  <c r="B25" i="37"/>
  <c r="F25" i="37"/>
  <c r="H25" i="37" s="1"/>
  <c r="I32" i="4"/>
  <c r="E28" i="13"/>
  <c r="F28" i="13" s="1"/>
  <c r="J110" i="26"/>
  <c r="B30" i="28"/>
  <c r="F30" i="28"/>
  <c r="G30" i="28" s="1"/>
  <c r="G34" i="3"/>
  <c r="B32" i="19"/>
  <c r="F32" i="19"/>
  <c r="D33" i="19" s="1"/>
  <c r="B26" i="31"/>
  <c r="F26" i="31"/>
  <c r="G26" i="31" s="1"/>
  <c r="E32" i="20"/>
  <c r="F32" i="20" s="1"/>
  <c r="E33" i="20"/>
  <c r="F33" i="20" s="1"/>
  <c r="B32" i="20"/>
  <c r="H31" i="20"/>
  <c r="G31" i="20"/>
  <c r="H34" i="3"/>
  <c r="B26" i="35"/>
  <c r="F26" i="35"/>
  <c r="H26" i="35" s="1"/>
  <c r="F30" i="21"/>
  <c r="H30" i="21" s="1"/>
  <c r="B30" i="21"/>
  <c r="J111" i="29"/>
  <c r="J113" i="18"/>
  <c r="B30" i="27"/>
  <c r="F30" i="27"/>
  <c r="H30" i="27" s="1"/>
  <c r="F27" i="29"/>
  <c r="H27" i="29" s="1"/>
  <c r="J107" i="31"/>
  <c r="D115" i="18"/>
  <c r="E115" i="18"/>
  <c r="G114" i="18"/>
  <c r="E116" i="4"/>
  <c r="G115" i="4"/>
  <c r="D116" i="4"/>
  <c r="D112" i="26"/>
  <c r="G111" i="26"/>
  <c r="E112" i="26"/>
  <c r="G108" i="31"/>
  <c r="E109" i="31"/>
  <c r="D109" i="31"/>
  <c r="H110" i="25"/>
  <c r="I110" i="25"/>
  <c r="B111" i="25"/>
  <c r="F111" i="25"/>
  <c r="J111" i="28"/>
  <c r="J106" i="37"/>
  <c r="D109" i="35"/>
  <c r="E109" i="35"/>
  <c r="G108" i="35"/>
  <c r="G107" i="37"/>
  <c r="D108" i="37"/>
  <c r="E108" i="37"/>
  <c r="J107" i="35"/>
  <c r="G112" i="28"/>
  <c r="D113" i="28"/>
  <c r="E113" i="28"/>
  <c r="J107" i="38"/>
  <c r="J111" i="27"/>
  <c r="J111" i="24"/>
  <c r="F115" i="19"/>
  <c r="B115" i="19"/>
  <c r="D109" i="34"/>
  <c r="G108" i="34"/>
  <c r="E109" i="34"/>
  <c r="I112" i="29"/>
  <c r="H112" i="29"/>
  <c r="D109" i="38"/>
  <c r="E109" i="38" s="1"/>
  <c r="G108" i="38"/>
  <c r="J107" i="34"/>
  <c r="G112" i="24"/>
  <c r="D113" i="24"/>
  <c r="E113" i="24"/>
  <c r="D113" i="27"/>
  <c r="G112" i="27"/>
  <c r="E113" i="27"/>
  <c r="I114" i="19"/>
  <c r="H114" i="19"/>
  <c r="G112" i="21"/>
  <c r="D113" i="21"/>
  <c r="E113" i="21"/>
  <c r="I108" i="20"/>
  <c r="H108" i="20"/>
  <c r="F109" i="20"/>
  <c r="B109" i="20"/>
  <c r="F112" i="22"/>
  <c r="B112" i="22"/>
  <c r="B116" i="3"/>
  <c r="F116" i="3"/>
  <c r="H111" i="22"/>
  <c r="I111" i="22"/>
  <c r="H115" i="23"/>
  <c r="I115" i="23"/>
  <c r="H115" i="3"/>
  <c r="I115" i="3"/>
  <c r="E117" i="23" l="1"/>
  <c r="D117" i="23"/>
  <c r="B31" i="24"/>
  <c r="F31" i="24"/>
  <c r="G31" i="24" s="1"/>
  <c r="G26" i="34"/>
  <c r="I26" i="34" s="1"/>
  <c r="H108" i="13"/>
  <c r="I108" i="13"/>
  <c r="E109" i="13"/>
  <c r="F109" i="13" s="1"/>
  <c r="B109" i="13"/>
  <c r="G25" i="37"/>
  <c r="I25" i="37" s="1"/>
  <c r="G29" i="26"/>
  <c r="I29" i="26" s="1"/>
  <c r="I34" i="3"/>
  <c r="G30" i="21"/>
  <c r="I30" i="21" s="1"/>
  <c r="I31" i="20"/>
  <c r="G32" i="19"/>
  <c r="D29" i="13"/>
  <c r="E29" i="13" s="1"/>
  <c r="H28" i="13"/>
  <c r="G28" i="13"/>
  <c r="G26" i="35"/>
  <c r="I26" i="35" s="1"/>
  <c r="G32" i="18"/>
  <c r="D27" i="31"/>
  <c r="E27" i="31"/>
  <c r="D31" i="23"/>
  <c r="E31" i="23"/>
  <c r="D25" i="38"/>
  <c r="E25" i="38"/>
  <c r="B33" i="18"/>
  <c r="F33" i="18"/>
  <c r="G33" i="18" s="1"/>
  <c r="D28" i="29"/>
  <c r="E28" i="29"/>
  <c r="H26" i="31"/>
  <c r="I26" i="31" s="1"/>
  <c r="D31" i="28"/>
  <c r="E31" i="28"/>
  <c r="H30" i="23"/>
  <c r="G27" i="29"/>
  <c r="I27" i="29" s="1"/>
  <c r="D26" i="37"/>
  <c r="E26" i="37"/>
  <c r="G30" i="23"/>
  <c r="D30" i="22"/>
  <c r="E30" i="22"/>
  <c r="D31" i="27"/>
  <c r="E31" i="27"/>
  <c r="B33" i="19"/>
  <c r="F33" i="19"/>
  <c r="G33" i="19" s="1"/>
  <c r="H30" i="28"/>
  <c r="I30" i="28" s="1"/>
  <c r="G29" i="22"/>
  <c r="I29" i="22" s="1"/>
  <c r="G30" i="27"/>
  <c r="I30" i="27" s="1"/>
  <c r="D31" i="21"/>
  <c r="E31" i="21"/>
  <c r="F34" i="4"/>
  <c r="H34" i="4" s="1"/>
  <c r="B34" i="4"/>
  <c r="D27" i="34"/>
  <c r="E27" i="34"/>
  <c r="D27" i="35"/>
  <c r="E27" i="35"/>
  <c r="E34" i="20"/>
  <c r="F34" i="20" s="1"/>
  <c r="B34" i="20"/>
  <c r="H33" i="20"/>
  <c r="G33" i="20"/>
  <c r="D29" i="25"/>
  <c r="E29" i="25"/>
  <c r="G32" i="20"/>
  <c r="H32" i="20"/>
  <c r="B33" i="20"/>
  <c r="H32" i="19"/>
  <c r="I32" i="19" s="1"/>
  <c r="D30" i="26"/>
  <c r="E30" i="26"/>
  <c r="H28" i="25"/>
  <c r="I28" i="25" s="1"/>
  <c r="G24" i="38"/>
  <c r="I24" i="38" s="1"/>
  <c r="H32" i="18"/>
  <c r="F35" i="3"/>
  <c r="H35" i="3" s="1"/>
  <c r="B35" i="3"/>
  <c r="J110" i="25"/>
  <c r="B116" i="4"/>
  <c r="F116" i="4"/>
  <c r="H115" i="4"/>
  <c r="I115" i="4"/>
  <c r="H114" i="18"/>
  <c r="I114" i="18"/>
  <c r="B115" i="18"/>
  <c r="F115" i="18"/>
  <c r="I107" i="37"/>
  <c r="H107" i="37"/>
  <c r="H108" i="35"/>
  <c r="I108" i="35"/>
  <c r="B109" i="31"/>
  <c r="F109" i="31"/>
  <c r="B113" i="28"/>
  <c r="F113" i="28"/>
  <c r="B109" i="35"/>
  <c r="F109" i="35"/>
  <c r="I112" i="28"/>
  <c r="H112" i="28"/>
  <c r="H108" i="31"/>
  <c r="I108" i="31"/>
  <c r="G111" i="25"/>
  <c r="D112" i="25"/>
  <c r="E112" i="25"/>
  <c r="I111" i="26"/>
  <c r="H111" i="26"/>
  <c r="F108" i="37"/>
  <c r="B108" i="37"/>
  <c r="F112" i="26"/>
  <c r="B112" i="26"/>
  <c r="J115" i="3"/>
  <c r="J112" i="29"/>
  <c r="J114" i="19"/>
  <c r="B113" i="24"/>
  <c r="F113" i="24"/>
  <c r="J111" i="22"/>
  <c r="H112" i="24"/>
  <c r="I112" i="24"/>
  <c r="B109" i="38"/>
  <c r="F109" i="38"/>
  <c r="D116" i="19"/>
  <c r="G115" i="19"/>
  <c r="E116" i="19"/>
  <c r="H112" i="27"/>
  <c r="I112" i="27"/>
  <c r="F113" i="27"/>
  <c r="B113" i="27"/>
  <c r="D114" i="29"/>
  <c r="G113" i="29"/>
  <c r="E114" i="29"/>
  <c r="B113" i="21"/>
  <c r="F113" i="21"/>
  <c r="I108" i="34"/>
  <c r="H108" i="34"/>
  <c r="J115" i="23"/>
  <c r="H112" i="21"/>
  <c r="I112" i="21"/>
  <c r="H108" i="38"/>
  <c r="I108" i="38"/>
  <c r="B109" i="34"/>
  <c r="F109" i="34"/>
  <c r="F117" i="23"/>
  <c r="G112" i="22"/>
  <c r="D113" i="22"/>
  <c r="E113" i="22"/>
  <c r="D117" i="3"/>
  <c r="G116" i="3"/>
  <c r="E117" i="3"/>
  <c r="G109" i="20"/>
  <c r="D110" i="20"/>
  <c r="E110" i="20" s="1"/>
  <c r="H116" i="23"/>
  <c r="I116" i="23"/>
  <c r="J108" i="20"/>
  <c r="G35" i="3" l="1"/>
  <c r="J108" i="13"/>
  <c r="H31" i="24"/>
  <c r="I31" i="24" s="1"/>
  <c r="D32" i="24"/>
  <c r="E32" i="24"/>
  <c r="G109" i="13"/>
  <c r="D110" i="13"/>
  <c r="I33" i="20"/>
  <c r="I30" i="23"/>
  <c r="I35" i="3"/>
  <c r="I32" i="18"/>
  <c r="F29" i="25"/>
  <c r="G29" i="25" s="1"/>
  <c r="B29" i="25"/>
  <c r="H33" i="18"/>
  <c r="I33" i="18" s="1"/>
  <c r="B27" i="34"/>
  <c r="F27" i="34"/>
  <c r="G27" i="34" s="1"/>
  <c r="B31" i="28"/>
  <c r="F31" i="28"/>
  <c r="H31" i="28" s="1"/>
  <c r="B30" i="26"/>
  <c r="F30" i="26"/>
  <c r="B31" i="27"/>
  <c r="F31" i="27"/>
  <c r="G31" i="27" s="1"/>
  <c r="B25" i="38"/>
  <c r="F25" i="38"/>
  <c r="G25" i="38" s="1"/>
  <c r="J108" i="31"/>
  <c r="J114" i="18"/>
  <c r="F26" i="37"/>
  <c r="G26" i="37" s="1"/>
  <c r="B26" i="37"/>
  <c r="I28" i="13"/>
  <c r="B35" i="20"/>
  <c r="H34" i="20"/>
  <c r="G34" i="20"/>
  <c r="E35" i="20"/>
  <c r="F35" i="20" s="1"/>
  <c r="D35" i="4"/>
  <c r="E35" i="4"/>
  <c r="D34" i="19"/>
  <c r="E34" i="19"/>
  <c r="F30" i="22"/>
  <c r="H30" i="22" s="1"/>
  <c r="B30" i="22"/>
  <c r="F28" i="29"/>
  <c r="H28" i="29" s="1"/>
  <c r="F31" i="23"/>
  <c r="B31" i="23"/>
  <c r="J108" i="35"/>
  <c r="J115" i="4"/>
  <c r="D36" i="3"/>
  <c r="E36" i="3"/>
  <c r="I32" i="20"/>
  <c r="G34" i="4"/>
  <c r="I34" i="4" s="1"/>
  <c r="H33" i="19"/>
  <c r="I33" i="19" s="1"/>
  <c r="B29" i="13"/>
  <c r="F29" i="13"/>
  <c r="H29" i="13" s="1"/>
  <c r="B27" i="35"/>
  <c r="F27" i="35"/>
  <c r="H27" i="35" s="1"/>
  <c r="D34" i="18"/>
  <c r="E34" i="18"/>
  <c r="F27" i="31"/>
  <c r="H27" i="31" s="1"/>
  <c r="B27" i="31"/>
  <c r="B31" i="21"/>
  <c r="F31" i="21"/>
  <c r="H31" i="21" s="1"/>
  <c r="D117" i="4"/>
  <c r="G116" i="4"/>
  <c r="E117" i="4"/>
  <c r="G115" i="18"/>
  <c r="D116" i="18"/>
  <c r="E116" i="18"/>
  <c r="J108" i="38"/>
  <c r="B112" i="25"/>
  <c r="F112" i="25"/>
  <c r="G113" i="28"/>
  <c r="D114" i="28"/>
  <c r="E114" i="28"/>
  <c r="G112" i="26"/>
  <c r="D113" i="26"/>
  <c r="E113" i="26"/>
  <c r="E110" i="31"/>
  <c r="D110" i="31"/>
  <c r="G109" i="31"/>
  <c r="D109" i="37"/>
  <c r="G108" i="37"/>
  <c r="E109" i="37"/>
  <c r="H111" i="25"/>
  <c r="I111" i="25"/>
  <c r="J112" i="28"/>
  <c r="J111" i="26"/>
  <c r="D110" i="35"/>
  <c r="E110" i="35"/>
  <c r="G109" i="35"/>
  <c r="J107" i="37"/>
  <c r="F114" i="29"/>
  <c r="G114" i="29" s="1"/>
  <c r="J112" i="27"/>
  <c r="D114" i="21"/>
  <c r="G113" i="21"/>
  <c r="E114" i="21"/>
  <c r="I113" i="29"/>
  <c r="H113" i="29"/>
  <c r="I115" i="19"/>
  <c r="H115" i="19"/>
  <c r="F116" i="19"/>
  <c r="B116" i="19"/>
  <c r="G109" i="34"/>
  <c r="D110" i="34"/>
  <c r="E110" i="34"/>
  <c r="J108" i="34"/>
  <c r="D114" i="27"/>
  <c r="G113" i="27"/>
  <c r="E114" i="27"/>
  <c r="G109" i="38"/>
  <c r="D110" i="38"/>
  <c r="E110" i="38" s="1"/>
  <c r="J112" i="24"/>
  <c r="G113" i="24"/>
  <c r="D114" i="24"/>
  <c r="E114" i="24"/>
  <c r="J116" i="23"/>
  <c r="J112" i="21"/>
  <c r="H116" i="3"/>
  <c r="I116" i="3"/>
  <c r="B110" i="20"/>
  <c r="F110" i="20"/>
  <c r="B113" i="22"/>
  <c r="F113" i="22"/>
  <c r="H109" i="20"/>
  <c r="I109" i="20"/>
  <c r="I112" i="22"/>
  <c r="H112" i="22"/>
  <c r="F117" i="3"/>
  <c r="B117" i="3"/>
  <c r="G117" i="23"/>
  <c r="D118" i="23"/>
  <c r="E118" i="23"/>
  <c r="B32" i="24" l="1"/>
  <c r="F32" i="24"/>
  <c r="H32" i="24" s="1"/>
  <c r="G27" i="35"/>
  <c r="I27" i="35" s="1"/>
  <c r="J115" i="19"/>
  <c r="E110" i="13"/>
  <c r="F110" i="13" s="1"/>
  <c r="B110" i="13"/>
  <c r="I109" i="13"/>
  <c r="H109" i="13"/>
  <c r="G29" i="13"/>
  <c r="I29" i="13" s="1"/>
  <c r="G28" i="29"/>
  <c r="I28" i="29" s="1"/>
  <c r="G31" i="28"/>
  <c r="I31" i="28" s="1"/>
  <c r="G30" i="22"/>
  <c r="I30" i="22" s="1"/>
  <c r="F35" i="4"/>
  <c r="G35" i="4" s="1"/>
  <c r="B35" i="4"/>
  <c r="G35" i="20"/>
  <c r="E36" i="20"/>
  <c r="F36" i="20" s="1"/>
  <c r="B36" i="20"/>
  <c r="H35" i="20"/>
  <c r="D27" i="37"/>
  <c r="E27" i="37"/>
  <c r="D32" i="27"/>
  <c r="E32" i="27"/>
  <c r="D32" i="28"/>
  <c r="E32" i="28"/>
  <c r="D32" i="21"/>
  <c r="E32" i="21"/>
  <c r="E33" i="21"/>
  <c r="B34" i="18"/>
  <c r="F34" i="18"/>
  <c r="H34" i="18" s="1"/>
  <c r="D32" i="23"/>
  <c r="E32" i="23"/>
  <c r="I34" i="20"/>
  <c r="H31" i="27"/>
  <c r="I31" i="27" s="1"/>
  <c r="H29" i="25"/>
  <c r="I29" i="25" s="1"/>
  <c r="G31" i="21"/>
  <c r="I31" i="21" s="1"/>
  <c r="D28" i="35"/>
  <c r="E28" i="35"/>
  <c r="H31" i="23"/>
  <c r="D31" i="22"/>
  <c r="E31" i="22"/>
  <c r="H25" i="38"/>
  <c r="I25" i="38" s="1"/>
  <c r="D31" i="26"/>
  <c r="E31" i="26"/>
  <c r="G31" i="23"/>
  <c r="H30" i="26"/>
  <c r="D28" i="34"/>
  <c r="E28" i="34"/>
  <c r="D28" i="31"/>
  <c r="E28" i="31"/>
  <c r="B34" i="19"/>
  <c r="F34" i="19"/>
  <c r="H34" i="19" s="1"/>
  <c r="D26" i="38"/>
  <c r="E26" i="38"/>
  <c r="D30" i="25"/>
  <c r="E30" i="25"/>
  <c r="G27" i="31"/>
  <c r="I27" i="31" s="1"/>
  <c r="D30" i="13"/>
  <c r="E30" i="13" s="1"/>
  <c r="F36" i="3"/>
  <c r="H36" i="3" s="1"/>
  <c r="B36" i="3"/>
  <c r="D29" i="29"/>
  <c r="E29" i="29"/>
  <c r="H26" i="37"/>
  <c r="I26" i="37" s="1"/>
  <c r="G30" i="26"/>
  <c r="H27" i="34"/>
  <c r="I27" i="34" s="1"/>
  <c r="B116" i="18"/>
  <c r="F116" i="18"/>
  <c r="H115" i="18"/>
  <c r="I115" i="18"/>
  <c r="H116" i="4"/>
  <c r="I116" i="4"/>
  <c r="F117" i="4"/>
  <c r="B117" i="4"/>
  <c r="B113" i="26"/>
  <c r="F113" i="26"/>
  <c r="H112" i="26"/>
  <c r="I112" i="26"/>
  <c r="I109" i="35"/>
  <c r="H109" i="35"/>
  <c r="I108" i="37"/>
  <c r="H108" i="37"/>
  <c r="F109" i="37"/>
  <c r="B109" i="37"/>
  <c r="F114" i="28"/>
  <c r="B114" i="28"/>
  <c r="F110" i="35"/>
  <c r="B110" i="35"/>
  <c r="H109" i="31"/>
  <c r="I109" i="31"/>
  <c r="H113" i="28"/>
  <c r="I113" i="28"/>
  <c r="B110" i="31"/>
  <c r="F110" i="31"/>
  <c r="G112" i="25"/>
  <c r="D113" i="25"/>
  <c r="E113" i="25"/>
  <c r="J109" i="20"/>
  <c r="J116" i="3"/>
  <c r="J111" i="25"/>
  <c r="E115" i="29"/>
  <c r="D115" i="29"/>
  <c r="J113" i="29"/>
  <c r="B110" i="38"/>
  <c r="F110" i="38"/>
  <c r="H109" i="38"/>
  <c r="I109" i="38"/>
  <c r="I114" i="29"/>
  <c r="H114" i="29"/>
  <c r="F110" i="34"/>
  <c r="B110" i="34"/>
  <c r="B114" i="27"/>
  <c r="F114" i="27"/>
  <c r="H109" i="34"/>
  <c r="I109" i="34"/>
  <c r="H113" i="21"/>
  <c r="I113" i="21"/>
  <c r="H113" i="24"/>
  <c r="I113" i="24"/>
  <c r="F118" i="23"/>
  <c r="D119" i="23" s="1"/>
  <c r="B114" i="24"/>
  <c r="F114" i="24"/>
  <c r="H113" i="27"/>
  <c r="I113" i="27"/>
  <c r="D117" i="19"/>
  <c r="G116" i="19"/>
  <c r="E117" i="19"/>
  <c r="F114" i="21"/>
  <c r="B114" i="21"/>
  <c r="J112" i="22"/>
  <c r="D114" i="22"/>
  <c r="G113" i="22"/>
  <c r="E114" i="22"/>
  <c r="D111" i="20"/>
  <c r="E111" i="20" s="1"/>
  <c r="G110" i="20"/>
  <c r="H117" i="23"/>
  <c r="I117" i="23"/>
  <c r="G117" i="3"/>
  <c r="E118" i="3"/>
  <c r="D118" i="3"/>
  <c r="G32" i="24" l="1"/>
  <c r="I32" i="24" s="1"/>
  <c r="D33" i="24"/>
  <c r="E33" i="24"/>
  <c r="F115" i="29"/>
  <c r="G115" i="29" s="1"/>
  <c r="J109" i="13"/>
  <c r="D111" i="13"/>
  <c r="G110" i="13"/>
  <c r="H35" i="4"/>
  <c r="I35" i="4" s="1"/>
  <c r="G36" i="3"/>
  <c r="I36" i="3" s="1"/>
  <c r="G34" i="19"/>
  <c r="I34" i="19" s="1"/>
  <c r="I31" i="23"/>
  <c r="F30" i="25"/>
  <c r="G30" i="25" s="1"/>
  <c r="B30" i="25"/>
  <c r="B28" i="31"/>
  <c r="F28" i="31"/>
  <c r="H28" i="31" s="1"/>
  <c r="B32" i="28"/>
  <c r="F32" i="28"/>
  <c r="F31" i="22"/>
  <c r="B31" i="22"/>
  <c r="D35" i="18"/>
  <c r="E35" i="18"/>
  <c r="B26" i="38"/>
  <c r="F26" i="38"/>
  <c r="G26" i="38" s="1"/>
  <c r="B28" i="34"/>
  <c r="F28" i="34"/>
  <c r="H28" i="34" s="1"/>
  <c r="B32" i="23"/>
  <c r="F32" i="23"/>
  <c r="H32" i="23" s="1"/>
  <c r="F32" i="27"/>
  <c r="H32" i="27" s="1"/>
  <c r="B32" i="27"/>
  <c r="D37" i="3"/>
  <c r="E37" i="3"/>
  <c r="I30" i="26"/>
  <c r="G34" i="18"/>
  <c r="I34" i="18" s="1"/>
  <c r="B28" i="35"/>
  <c r="F28" i="35"/>
  <c r="G28" i="35" s="1"/>
  <c r="B27" i="37"/>
  <c r="F27" i="37"/>
  <c r="D36" i="4"/>
  <c r="E36" i="4"/>
  <c r="G118" i="23"/>
  <c r="H118" i="23" s="1"/>
  <c r="J116" i="4"/>
  <c r="F30" i="13"/>
  <c r="G30" i="13" s="1"/>
  <c r="B30" i="13"/>
  <c r="D35" i="19"/>
  <c r="E35" i="19"/>
  <c r="I35" i="20"/>
  <c r="F31" i="26"/>
  <c r="H31" i="26" s="1"/>
  <c r="B31" i="26"/>
  <c r="F32" i="21"/>
  <c r="D33" i="21" s="1"/>
  <c r="B32" i="21"/>
  <c r="J112" i="26"/>
  <c r="J115" i="18"/>
  <c r="F29" i="29"/>
  <c r="H36" i="20"/>
  <c r="E37" i="20"/>
  <c r="F37" i="20" s="1"/>
  <c r="G36" i="20"/>
  <c r="B37" i="20"/>
  <c r="J108" i="37"/>
  <c r="D118" i="4"/>
  <c r="G117" i="4"/>
  <c r="E118" i="4"/>
  <c r="J113" i="28"/>
  <c r="D117" i="18"/>
  <c r="G116" i="18"/>
  <c r="E117" i="18"/>
  <c r="J109" i="31"/>
  <c r="F113" i="25"/>
  <c r="B113" i="25"/>
  <c r="J109" i="38"/>
  <c r="H112" i="25"/>
  <c r="I112" i="25"/>
  <c r="D111" i="35"/>
  <c r="G110" i="35"/>
  <c r="E111" i="35"/>
  <c r="J109" i="35"/>
  <c r="G110" i="31"/>
  <c r="E111" i="31"/>
  <c r="D111" i="31"/>
  <c r="D115" i="28"/>
  <c r="G114" i="28"/>
  <c r="E115" i="28"/>
  <c r="G113" i="26"/>
  <c r="E114" i="26"/>
  <c r="D114" i="26"/>
  <c r="J113" i="21"/>
  <c r="D110" i="37"/>
  <c r="G109" i="37"/>
  <c r="E110" i="37"/>
  <c r="E119" i="23"/>
  <c r="F119" i="23" s="1"/>
  <c r="J109" i="34"/>
  <c r="J117" i="23"/>
  <c r="G114" i="21"/>
  <c r="D115" i="21"/>
  <c r="E115" i="21"/>
  <c r="J113" i="27"/>
  <c r="J113" i="24"/>
  <c r="D115" i="24"/>
  <c r="G114" i="24"/>
  <c r="E115" i="24"/>
  <c r="D115" i="27"/>
  <c r="G114" i="27"/>
  <c r="E115" i="27"/>
  <c r="J114" i="29"/>
  <c r="I116" i="19"/>
  <c r="H116" i="19"/>
  <c r="B117" i="19"/>
  <c r="F117" i="19"/>
  <c r="D111" i="38"/>
  <c r="E111" i="38" s="1"/>
  <c r="G110" i="38"/>
  <c r="G110" i="34"/>
  <c r="D111" i="34"/>
  <c r="E111" i="34"/>
  <c r="H113" i="22"/>
  <c r="I113" i="22"/>
  <c r="H117" i="3"/>
  <c r="I117" i="3"/>
  <c r="B114" i="22"/>
  <c r="F114" i="22"/>
  <c r="B111" i="20"/>
  <c r="F111" i="20"/>
  <c r="I110" i="20"/>
  <c r="H110" i="20"/>
  <c r="F118" i="3"/>
  <c r="B118" i="3"/>
  <c r="I118" i="23" l="1"/>
  <c r="D116" i="29"/>
  <c r="E116" i="29"/>
  <c r="F33" i="24"/>
  <c r="H33" i="24" s="1"/>
  <c r="B33" i="24"/>
  <c r="G32" i="27"/>
  <c r="I32" i="27" s="1"/>
  <c r="J112" i="25"/>
  <c r="I110" i="13"/>
  <c r="H110" i="13"/>
  <c r="E111" i="13"/>
  <c r="F111" i="13" s="1"/>
  <c r="B111" i="13"/>
  <c r="G31" i="26"/>
  <c r="I31" i="26" s="1"/>
  <c r="G28" i="31"/>
  <c r="I28" i="31" s="1"/>
  <c r="G32" i="23"/>
  <c r="I32" i="23" s="1"/>
  <c r="D31" i="13"/>
  <c r="E31" i="13" s="1"/>
  <c r="D28" i="37"/>
  <c r="E28" i="37"/>
  <c r="D32" i="26"/>
  <c r="E32" i="26"/>
  <c r="D27" i="38"/>
  <c r="E27" i="38"/>
  <c r="D32" i="22"/>
  <c r="E33" i="22"/>
  <c r="E32" i="22"/>
  <c r="B38" i="20"/>
  <c r="G37" i="20"/>
  <c r="E38" i="20"/>
  <c r="F38" i="20" s="1"/>
  <c r="H37" i="20"/>
  <c r="D33" i="23"/>
  <c r="E33" i="23"/>
  <c r="D33" i="28"/>
  <c r="E33" i="28"/>
  <c r="I36" i="20"/>
  <c r="H32" i="21"/>
  <c r="F37" i="3"/>
  <c r="G37" i="3" s="1"/>
  <c r="B37" i="3"/>
  <c r="H26" i="38"/>
  <c r="I26" i="38" s="1"/>
  <c r="H30" i="25"/>
  <c r="I30" i="25" s="1"/>
  <c r="G32" i="21"/>
  <c r="D29" i="35"/>
  <c r="E29" i="35"/>
  <c r="G28" i="34"/>
  <c r="I28" i="34" s="1"/>
  <c r="G32" i="28"/>
  <c r="D30" i="29"/>
  <c r="E30" i="29"/>
  <c r="B33" i="21"/>
  <c r="F33" i="21"/>
  <c r="G33" i="21" s="1"/>
  <c r="B35" i="19"/>
  <c r="F35" i="19"/>
  <c r="G35" i="19" s="1"/>
  <c r="B36" i="4"/>
  <c r="F36" i="4"/>
  <c r="G36" i="4" s="1"/>
  <c r="H28" i="35"/>
  <c r="I28" i="35" s="1"/>
  <c r="B35" i="18"/>
  <c r="F35" i="18"/>
  <c r="G35" i="18" s="1"/>
  <c r="H32" i="28"/>
  <c r="I32" i="28" s="1"/>
  <c r="G29" i="29"/>
  <c r="H30" i="13"/>
  <c r="I30" i="13" s="1"/>
  <c r="G27" i="37"/>
  <c r="D29" i="34"/>
  <c r="E29" i="34"/>
  <c r="G31" i="22"/>
  <c r="D31" i="25"/>
  <c r="E31" i="25"/>
  <c r="H29" i="29"/>
  <c r="I29" i="29" s="1"/>
  <c r="H27" i="37"/>
  <c r="D33" i="27"/>
  <c r="E33" i="27"/>
  <c r="H31" i="22"/>
  <c r="D29" i="31"/>
  <c r="E29" i="31"/>
  <c r="B117" i="18"/>
  <c r="F117" i="18"/>
  <c r="J118" i="23"/>
  <c r="I116" i="18"/>
  <c r="H116" i="18"/>
  <c r="I117" i="4"/>
  <c r="H117" i="4"/>
  <c r="B118" i="4"/>
  <c r="F118" i="4"/>
  <c r="J116" i="19"/>
  <c r="I110" i="35"/>
  <c r="H110" i="35"/>
  <c r="I114" i="28"/>
  <c r="H114" i="28"/>
  <c r="F111" i="35"/>
  <c r="B111" i="35"/>
  <c r="H109" i="37"/>
  <c r="I109" i="37"/>
  <c r="B115" i="28"/>
  <c r="F115" i="28"/>
  <c r="F110" i="37"/>
  <c r="B110" i="37"/>
  <c r="F111" i="31"/>
  <c r="B111" i="31"/>
  <c r="F114" i="26"/>
  <c r="B114" i="26"/>
  <c r="I110" i="31"/>
  <c r="H110" i="31"/>
  <c r="G113" i="25"/>
  <c r="E114" i="25"/>
  <c r="D114" i="25"/>
  <c r="J117" i="3"/>
  <c r="H113" i="26"/>
  <c r="I113" i="26"/>
  <c r="H110" i="34"/>
  <c r="I110" i="34"/>
  <c r="I114" i="24"/>
  <c r="H114" i="24"/>
  <c r="H110" i="38"/>
  <c r="I110" i="38"/>
  <c r="H114" i="27"/>
  <c r="I114" i="27"/>
  <c r="B115" i="24"/>
  <c r="F115" i="24"/>
  <c r="B111" i="38"/>
  <c r="F111" i="38"/>
  <c r="F115" i="27"/>
  <c r="B115" i="27"/>
  <c r="H115" i="29"/>
  <c r="I115" i="29"/>
  <c r="F115" i="21"/>
  <c r="B115" i="21"/>
  <c r="J113" i="22"/>
  <c r="F116" i="29"/>
  <c r="I114" i="21"/>
  <c r="H114" i="21"/>
  <c r="G117" i="19"/>
  <c r="D118" i="19"/>
  <c r="E118" i="19"/>
  <c r="B111" i="34"/>
  <c r="F111" i="34"/>
  <c r="G111" i="20"/>
  <c r="D112" i="20"/>
  <c r="E119" i="3"/>
  <c r="G118" i="3"/>
  <c r="D119" i="3"/>
  <c r="D115" i="22"/>
  <c r="E115" i="22"/>
  <c r="G114" i="22"/>
  <c r="J110" i="20"/>
  <c r="G119" i="23"/>
  <c r="D120" i="23"/>
  <c r="E120" i="23" s="1"/>
  <c r="G33" i="24" l="1"/>
  <c r="I33" i="24" s="1"/>
  <c r="D34" i="24"/>
  <c r="E34" i="24"/>
  <c r="D112" i="13"/>
  <c r="G111" i="13"/>
  <c r="J110" i="13"/>
  <c r="I37" i="20"/>
  <c r="J117" i="4"/>
  <c r="I31" i="22"/>
  <c r="I32" i="21"/>
  <c r="B29" i="31"/>
  <c r="F29" i="31"/>
  <c r="G29" i="31" s="1"/>
  <c r="F27" i="38"/>
  <c r="H27" i="38" s="1"/>
  <c r="B27" i="38"/>
  <c r="D36" i="18"/>
  <c r="E36" i="18"/>
  <c r="D36" i="19"/>
  <c r="E36" i="19"/>
  <c r="F30" i="29"/>
  <c r="H30" i="29" s="1"/>
  <c r="B33" i="28"/>
  <c r="F33" i="28"/>
  <c r="H33" i="28" s="1"/>
  <c r="G38" i="20"/>
  <c r="B39" i="20"/>
  <c r="E39" i="20"/>
  <c r="F39" i="20" s="1"/>
  <c r="H38" i="20"/>
  <c r="B29" i="34"/>
  <c r="F29" i="34"/>
  <c r="H29" i="34" s="1"/>
  <c r="H35" i="19"/>
  <c r="I35" i="19" s="1"/>
  <c r="B32" i="26"/>
  <c r="F32" i="26"/>
  <c r="G32" i="26" s="1"/>
  <c r="B33" i="27"/>
  <c r="F33" i="27"/>
  <c r="H33" i="27" s="1"/>
  <c r="F33" i="23"/>
  <c r="H33" i="23" s="1"/>
  <c r="B33" i="23"/>
  <c r="J110" i="31"/>
  <c r="I27" i="37"/>
  <c r="H36" i="4"/>
  <c r="I36" i="4" s="1"/>
  <c r="H33" i="21"/>
  <c r="I33" i="21" s="1"/>
  <c r="D38" i="3"/>
  <c r="E38" i="3"/>
  <c r="B28" i="37"/>
  <c r="F28" i="37"/>
  <c r="G28" i="37" s="1"/>
  <c r="J113" i="26"/>
  <c r="J109" i="37"/>
  <c r="H37" i="3"/>
  <c r="I37" i="3" s="1"/>
  <c r="D37" i="4"/>
  <c r="E37" i="4"/>
  <c r="D34" i="21"/>
  <c r="E34" i="21"/>
  <c r="B29" i="35"/>
  <c r="F29" i="35"/>
  <c r="G29" i="35" s="1"/>
  <c r="B32" i="22"/>
  <c r="F32" i="22"/>
  <c r="D33" i="22" s="1"/>
  <c r="F31" i="13"/>
  <c r="G31" i="13" s="1"/>
  <c r="B31" i="13"/>
  <c r="F31" i="25"/>
  <c r="G31" i="25" s="1"/>
  <c r="B31" i="25"/>
  <c r="H35" i="18"/>
  <c r="I35" i="18" s="1"/>
  <c r="J116" i="18"/>
  <c r="E118" i="18"/>
  <c r="D118" i="18"/>
  <c r="G117" i="18"/>
  <c r="D119" i="4"/>
  <c r="E119" i="4"/>
  <c r="G118" i="4"/>
  <c r="G114" i="26"/>
  <c r="D115" i="26"/>
  <c r="E115" i="26"/>
  <c r="F114" i="25"/>
  <c r="B114" i="25"/>
  <c r="E112" i="31"/>
  <c r="G111" i="31"/>
  <c r="D112" i="31"/>
  <c r="D112" i="35"/>
  <c r="E112" i="35"/>
  <c r="G111" i="35"/>
  <c r="I113" i="25"/>
  <c r="H113" i="25"/>
  <c r="E111" i="37"/>
  <c r="G110" i="37"/>
  <c r="D111" i="37"/>
  <c r="J114" i="28"/>
  <c r="J110" i="38"/>
  <c r="G115" i="28"/>
  <c r="E116" i="28"/>
  <c r="D116" i="28"/>
  <c r="J110" i="35"/>
  <c r="J114" i="27"/>
  <c r="D112" i="34"/>
  <c r="G111" i="34"/>
  <c r="E112" i="34"/>
  <c r="J114" i="21"/>
  <c r="G115" i="21"/>
  <c r="D116" i="21"/>
  <c r="E116" i="21"/>
  <c r="G115" i="27"/>
  <c r="D116" i="27"/>
  <c r="E116" i="27"/>
  <c r="G115" i="24"/>
  <c r="D116" i="24"/>
  <c r="E116" i="24"/>
  <c r="B118" i="19"/>
  <c r="F118" i="19"/>
  <c r="H117" i="19"/>
  <c r="I117" i="19"/>
  <c r="J115" i="29"/>
  <c r="D117" i="29"/>
  <c r="G116" i="29"/>
  <c r="E117" i="29"/>
  <c r="D112" i="38"/>
  <c r="G111" i="38"/>
  <c r="J114" i="24"/>
  <c r="J110" i="34"/>
  <c r="H118" i="3"/>
  <c r="I118" i="3"/>
  <c r="B119" i="3"/>
  <c r="F119" i="3"/>
  <c r="B112" i="20"/>
  <c r="F120" i="23"/>
  <c r="I111" i="20"/>
  <c r="H111" i="20"/>
  <c r="F115" i="22"/>
  <c r="B115" i="22"/>
  <c r="H119" i="23"/>
  <c r="I119" i="23"/>
  <c r="H114" i="22"/>
  <c r="I114" i="22"/>
  <c r="E112" i="20"/>
  <c r="F112" i="20" s="1"/>
  <c r="B34" i="24" l="1"/>
  <c r="F34" i="24"/>
  <c r="H34" i="24" s="1"/>
  <c r="H28" i="37"/>
  <c r="I28" i="37" s="1"/>
  <c r="H111" i="13"/>
  <c r="I111" i="13"/>
  <c r="E112" i="13"/>
  <c r="F112" i="13" s="1"/>
  <c r="B112" i="13"/>
  <c r="H31" i="25"/>
  <c r="I31" i="25" s="1"/>
  <c r="G32" i="22"/>
  <c r="H32" i="22"/>
  <c r="G27" i="38"/>
  <c r="I27" i="38" s="1"/>
  <c r="G33" i="23"/>
  <c r="I33" i="23" s="1"/>
  <c r="I38" i="20"/>
  <c r="H29" i="35"/>
  <c r="I29" i="35" s="1"/>
  <c r="G33" i="28"/>
  <c r="I33" i="28" s="1"/>
  <c r="J119" i="23"/>
  <c r="F34" i="21"/>
  <c r="H34" i="21" s="1"/>
  <c r="B34" i="21"/>
  <c r="D33" i="26"/>
  <c r="E33" i="26"/>
  <c r="G29" i="34"/>
  <c r="I29" i="34" s="1"/>
  <c r="D32" i="25"/>
  <c r="E32" i="25"/>
  <c r="F37" i="4"/>
  <c r="H37" i="4" s="1"/>
  <c r="B37" i="4"/>
  <c r="E40" i="20"/>
  <c r="F40" i="20" s="1"/>
  <c r="B40" i="20"/>
  <c r="G39" i="20"/>
  <c r="H39" i="20"/>
  <c r="D31" i="29"/>
  <c r="E31" i="29"/>
  <c r="H31" i="13"/>
  <c r="I31" i="13" s="1"/>
  <c r="B38" i="3"/>
  <c r="F38" i="3"/>
  <c r="H38" i="3" s="1"/>
  <c r="D34" i="23"/>
  <c r="E34" i="23"/>
  <c r="H32" i="26"/>
  <c r="I32" i="26" s="1"/>
  <c r="G30" i="29"/>
  <c r="I30" i="29" s="1"/>
  <c r="D28" i="38"/>
  <c r="E28" i="38"/>
  <c r="G33" i="27"/>
  <c r="I33" i="27" s="1"/>
  <c r="H29" i="31"/>
  <c r="I29" i="31" s="1"/>
  <c r="D30" i="35"/>
  <c r="E30" i="35"/>
  <c r="D34" i="28"/>
  <c r="E34" i="28"/>
  <c r="B36" i="19"/>
  <c r="F36" i="19"/>
  <c r="G36" i="19" s="1"/>
  <c r="D32" i="13"/>
  <c r="E32" i="13" s="1"/>
  <c r="D34" i="27"/>
  <c r="E34" i="27"/>
  <c r="D30" i="34"/>
  <c r="E30" i="34"/>
  <c r="D30" i="31"/>
  <c r="E30" i="31"/>
  <c r="B33" i="22"/>
  <c r="F33" i="22"/>
  <c r="G33" i="22" s="1"/>
  <c r="D29" i="37"/>
  <c r="E29" i="37"/>
  <c r="B36" i="18"/>
  <c r="F36" i="18"/>
  <c r="H36" i="18" s="1"/>
  <c r="I118" i="4"/>
  <c r="H118" i="4"/>
  <c r="I117" i="18"/>
  <c r="H117" i="18"/>
  <c r="B119" i="4"/>
  <c r="F119" i="4"/>
  <c r="B118" i="18"/>
  <c r="F118" i="18"/>
  <c r="B111" i="37"/>
  <c r="F111" i="37"/>
  <c r="B112" i="31"/>
  <c r="F112" i="31"/>
  <c r="I110" i="37"/>
  <c r="H110" i="37"/>
  <c r="H111" i="31"/>
  <c r="I111" i="31"/>
  <c r="F116" i="28"/>
  <c r="B116" i="28"/>
  <c r="J113" i="25"/>
  <c r="G114" i="25"/>
  <c r="D115" i="25"/>
  <c r="E115" i="25"/>
  <c r="H115" i="28"/>
  <c r="I115" i="28"/>
  <c r="H111" i="35"/>
  <c r="I111" i="35"/>
  <c r="B115" i="26"/>
  <c r="F115" i="26"/>
  <c r="J114" i="22"/>
  <c r="B112" i="35"/>
  <c r="F112" i="35"/>
  <c r="H114" i="26"/>
  <c r="I114" i="26"/>
  <c r="J118" i="3"/>
  <c r="J117" i="19"/>
  <c r="F117" i="29"/>
  <c r="D118" i="29" s="1"/>
  <c r="E118" i="29" s="1"/>
  <c r="B112" i="38"/>
  <c r="B116" i="24"/>
  <c r="F116" i="24"/>
  <c r="F116" i="21"/>
  <c r="B116" i="21"/>
  <c r="I115" i="24"/>
  <c r="H115" i="24"/>
  <c r="I115" i="21"/>
  <c r="H115" i="21"/>
  <c r="H111" i="38"/>
  <c r="I111" i="38"/>
  <c r="J111" i="20"/>
  <c r="E119" i="19"/>
  <c r="D119" i="19"/>
  <c r="G118" i="19"/>
  <c r="I115" i="27"/>
  <c r="H115" i="27"/>
  <c r="I111" i="34"/>
  <c r="H111" i="34"/>
  <c r="E112" i="38"/>
  <c r="F112" i="38" s="1"/>
  <c r="I116" i="29"/>
  <c r="H116" i="29"/>
  <c r="F116" i="27"/>
  <c r="B116" i="27"/>
  <c r="F112" i="34"/>
  <c r="B112" i="34"/>
  <c r="D113" i="20"/>
  <c r="E113" i="20" s="1"/>
  <c r="G112" i="20"/>
  <c r="G119" i="3"/>
  <c r="D120" i="3"/>
  <c r="E120" i="3"/>
  <c r="G120" i="23"/>
  <c r="D121" i="23"/>
  <c r="E121" i="23" s="1"/>
  <c r="D116" i="22"/>
  <c r="G115" i="22"/>
  <c r="E116" i="22"/>
  <c r="G34" i="24" l="1"/>
  <c r="I34" i="24" s="1"/>
  <c r="D35" i="24"/>
  <c r="E35" i="24"/>
  <c r="J114" i="26"/>
  <c r="I32" i="22"/>
  <c r="G34" i="21"/>
  <c r="I34" i="21" s="1"/>
  <c r="J111" i="13"/>
  <c r="J111" i="38"/>
  <c r="D113" i="13"/>
  <c r="B113" i="13" s="1"/>
  <c r="G112" i="13"/>
  <c r="H36" i="19"/>
  <c r="I36" i="19" s="1"/>
  <c r="G36" i="18"/>
  <c r="I36" i="18" s="1"/>
  <c r="I39" i="20"/>
  <c r="B30" i="31"/>
  <c r="F30" i="31"/>
  <c r="H30" i="31" s="1"/>
  <c r="F31" i="29"/>
  <c r="D38" i="4"/>
  <c r="E38" i="4"/>
  <c r="B29" i="37"/>
  <c r="F29" i="37"/>
  <c r="G29" i="37" s="1"/>
  <c r="B30" i="34"/>
  <c r="F30" i="34"/>
  <c r="H30" i="34" s="1"/>
  <c r="B34" i="23"/>
  <c r="F34" i="23"/>
  <c r="G34" i="23" s="1"/>
  <c r="J111" i="35"/>
  <c r="D34" i="22"/>
  <c r="E34" i="22"/>
  <c r="B34" i="27"/>
  <c r="F34" i="27"/>
  <c r="H34" i="27" s="1"/>
  <c r="F34" i="28"/>
  <c r="G34" i="28" s="1"/>
  <c r="B34" i="28"/>
  <c r="D39" i="3"/>
  <c r="E39" i="3"/>
  <c r="B32" i="25"/>
  <c r="F32" i="25"/>
  <c r="H32" i="25" s="1"/>
  <c r="D35" i="21"/>
  <c r="E35" i="21"/>
  <c r="J115" i="28"/>
  <c r="J111" i="31"/>
  <c r="D37" i="18"/>
  <c r="E37" i="18"/>
  <c r="H33" i="22"/>
  <c r="I33" i="22" s="1"/>
  <c r="H40" i="20"/>
  <c r="B41" i="20"/>
  <c r="E41" i="20"/>
  <c r="F41" i="20" s="1"/>
  <c r="G40" i="20"/>
  <c r="F32" i="13"/>
  <c r="H32" i="13" s="1"/>
  <c r="B32" i="13"/>
  <c r="B30" i="35"/>
  <c r="F30" i="35"/>
  <c r="H30" i="35" s="1"/>
  <c r="B28" i="38"/>
  <c r="F28" i="38"/>
  <c r="H28" i="38" s="1"/>
  <c r="G38" i="3"/>
  <c r="I38" i="3" s="1"/>
  <c r="G37" i="4"/>
  <c r="I37" i="4" s="1"/>
  <c r="D37" i="19"/>
  <c r="E37" i="19"/>
  <c r="B33" i="26"/>
  <c r="F33" i="26"/>
  <c r="G33" i="26" s="1"/>
  <c r="G119" i="4"/>
  <c r="E120" i="4"/>
  <c r="D120" i="4"/>
  <c r="J117" i="18"/>
  <c r="G118" i="18"/>
  <c r="D119" i="18"/>
  <c r="E119" i="18"/>
  <c r="J115" i="21"/>
  <c r="J118" i="4"/>
  <c r="D113" i="35"/>
  <c r="E113" i="35"/>
  <c r="G112" i="35"/>
  <c r="J115" i="24"/>
  <c r="B115" i="25"/>
  <c r="F115" i="25"/>
  <c r="J110" i="37"/>
  <c r="E116" i="26"/>
  <c r="G115" i="26"/>
  <c r="D116" i="26"/>
  <c r="I114" i="25"/>
  <c r="H114" i="25"/>
  <c r="D113" i="31"/>
  <c r="E113" i="31"/>
  <c r="G112" i="31"/>
  <c r="G117" i="29"/>
  <c r="H117" i="29" s="1"/>
  <c r="D112" i="37"/>
  <c r="G111" i="37"/>
  <c r="E112" i="37"/>
  <c r="E117" i="28"/>
  <c r="G116" i="28"/>
  <c r="D117" i="28"/>
  <c r="J115" i="27"/>
  <c r="D113" i="38"/>
  <c r="E113" i="38" s="1"/>
  <c r="G112" i="38"/>
  <c r="G116" i="21"/>
  <c r="D117" i="21"/>
  <c r="E117" i="21"/>
  <c r="G116" i="27"/>
  <c r="D117" i="27"/>
  <c r="E117" i="27"/>
  <c r="H118" i="19"/>
  <c r="I118" i="19"/>
  <c r="G116" i="24"/>
  <c r="D117" i="24"/>
  <c r="E117" i="24"/>
  <c r="F119" i="19"/>
  <c r="B119" i="19"/>
  <c r="F118" i="29"/>
  <c r="J116" i="29"/>
  <c r="J111" i="34"/>
  <c r="D113" i="34"/>
  <c r="G112" i="34"/>
  <c r="E113" i="34"/>
  <c r="H115" i="22"/>
  <c r="I115" i="22"/>
  <c r="H119" i="3"/>
  <c r="I119" i="3"/>
  <c r="F120" i="3"/>
  <c r="B120" i="3"/>
  <c r="B116" i="22"/>
  <c r="F116" i="22"/>
  <c r="F121" i="23"/>
  <c r="H120" i="23"/>
  <c r="I120" i="23"/>
  <c r="H112" i="20"/>
  <c r="I112" i="20"/>
  <c r="B113" i="20"/>
  <c r="F113" i="20"/>
  <c r="B35" i="24" l="1"/>
  <c r="F35" i="24"/>
  <c r="G35" i="24" s="1"/>
  <c r="I117" i="29"/>
  <c r="J117" i="29" s="1"/>
  <c r="E113" i="13"/>
  <c r="F113" i="13" s="1"/>
  <c r="H112" i="13"/>
  <c r="I112" i="13"/>
  <c r="H34" i="23"/>
  <c r="I34" i="23" s="1"/>
  <c r="H34" i="28"/>
  <c r="I34" i="28" s="1"/>
  <c r="G30" i="34"/>
  <c r="I30" i="34" s="1"/>
  <c r="G34" i="27"/>
  <c r="I34" i="27" s="1"/>
  <c r="D34" i="26"/>
  <c r="E34" i="26"/>
  <c r="D29" i="38"/>
  <c r="E29" i="38"/>
  <c r="D33" i="13"/>
  <c r="B37" i="18"/>
  <c r="F37" i="18"/>
  <c r="D30" i="37"/>
  <c r="E30" i="37"/>
  <c r="G32" i="13"/>
  <c r="I32" i="13" s="1"/>
  <c r="D35" i="27"/>
  <c r="E35" i="27"/>
  <c r="J115" i="22"/>
  <c r="B39" i="3"/>
  <c r="F39" i="3"/>
  <c r="H39" i="3" s="1"/>
  <c r="D31" i="31"/>
  <c r="E31" i="31"/>
  <c r="F37" i="19"/>
  <c r="H37" i="19" s="1"/>
  <c r="B37" i="19"/>
  <c r="D31" i="35"/>
  <c r="E31" i="35"/>
  <c r="E42" i="20"/>
  <c r="F42" i="20" s="1"/>
  <c r="H41" i="20"/>
  <c r="B42" i="20"/>
  <c r="G41" i="20"/>
  <c r="F38" i="4"/>
  <c r="G38" i="4" s="1"/>
  <c r="B38" i="4"/>
  <c r="G30" i="31"/>
  <c r="I30" i="31" s="1"/>
  <c r="G30" i="35"/>
  <c r="I30" i="35" s="1"/>
  <c r="B35" i="21"/>
  <c r="F35" i="21"/>
  <c r="G35" i="21" s="1"/>
  <c r="B34" i="22"/>
  <c r="F34" i="22"/>
  <c r="H34" i="22" s="1"/>
  <c r="D31" i="34"/>
  <c r="E31" i="34"/>
  <c r="D32" i="29"/>
  <c r="E32" i="29"/>
  <c r="I40" i="20"/>
  <c r="D33" i="25"/>
  <c r="E33" i="25"/>
  <c r="G31" i="29"/>
  <c r="H33" i="26"/>
  <c r="I33" i="26" s="1"/>
  <c r="G28" i="38"/>
  <c r="I28" i="38" s="1"/>
  <c r="G32" i="25"/>
  <c r="I32" i="25" s="1"/>
  <c r="D35" i="28"/>
  <c r="E35" i="28"/>
  <c r="D35" i="23"/>
  <c r="E35" i="23"/>
  <c r="H29" i="37"/>
  <c r="I29" i="37" s="1"/>
  <c r="H31" i="29"/>
  <c r="I118" i="18"/>
  <c r="H118" i="18"/>
  <c r="F120" i="4"/>
  <c r="B120" i="4"/>
  <c r="B119" i="18"/>
  <c r="F119" i="18"/>
  <c r="H119" i="4"/>
  <c r="I119" i="4"/>
  <c r="I112" i="31"/>
  <c r="H112" i="31"/>
  <c r="B117" i="28"/>
  <c r="F117" i="28"/>
  <c r="G115" i="25"/>
  <c r="D116" i="25"/>
  <c r="E116" i="25"/>
  <c r="H116" i="28"/>
  <c r="I116" i="28"/>
  <c r="B113" i="31"/>
  <c r="F113" i="31"/>
  <c r="J114" i="25"/>
  <c r="I112" i="35"/>
  <c r="H112" i="35"/>
  <c r="I111" i="37"/>
  <c r="H111" i="37"/>
  <c r="F116" i="26"/>
  <c r="B116" i="26"/>
  <c r="F112" i="37"/>
  <c r="B112" i="37"/>
  <c r="I115" i="26"/>
  <c r="H115" i="26"/>
  <c r="B113" i="35"/>
  <c r="F113" i="35"/>
  <c r="J120" i="23"/>
  <c r="H112" i="34"/>
  <c r="I112" i="34"/>
  <c r="H112" i="38"/>
  <c r="I112" i="38"/>
  <c r="D119" i="29"/>
  <c r="E119" i="29" s="1"/>
  <c r="G118" i="29"/>
  <c r="B117" i="24"/>
  <c r="F117" i="24"/>
  <c r="B117" i="27"/>
  <c r="F117" i="27"/>
  <c r="H116" i="24"/>
  <c r="I116" i="24"/>
  <c r="I116" i="27"/>
  <c r="H116" i="27"/>
  <c r="B113" i="38"/>
  <c r="F113" i="38"/>
  <c r="B113" i="34"/>
  <c r="F113" i="34"/>
  <c r="J119" i="3"/>
  <c r="F117" i="21"/>
  <c r="B117" i="21"/>
  <c r="D120" i="19"/>
  <c r="G119" i="19"/>
  <c r="E120" i="19"/>
  <c r="J118" i="19"/>
  <c r="H116" i="21"/>
  <c r="I116" i="21"/>
  <c r="G120" i="3"/>
  <c r="D121" i="3"/>
  <c r="E121" i="3"/>
  <c r="D122" i="23"/>
  <c r="E122" i="23" s="1"/>
  <c r="G121" i="23"/>
  <c r="D114" i="20"/>
  <c r="E114" i="20" s="1"/>
  <c r="G113" i="20"/>
  <c r="G116" i="22"/>
  <c r="E117" i="22"/>
  <c r="D117" i="22"/>
  <c r="J112" i="20"/>
  <c r="G37" i="19" l="1"/>
  <c r="I37" i="19" s="1"/>
  <c r="H35" i="24"/>
  <c r="I35" i="24" s="1"/>
  <c r="D36" i="24"/>
  <c r="E36" i="24"/>
  <c r="J112" i="13"/>
  <c r="J119" i="4"/>
  <c r="D114" i="13"/>
  <c r="G113" i="13"/>
  <c r="I31" i="29"/>
  <c r="I41" i="20"/>
  <c r="H38" i="4"/>
  <c r="I38" i="4" s="1"/>
  <c r="B33" i="13"/>
  <c r="F35" i="23"/>
  <c r="B35" i="23"/>
  <c r="D35" i="22"/>
  <c r="E35" i="22"/>
  <c r="B33" i="25"/>
  <c r="F33" i="25"/>
  <c r="H33" i="25" s="1"/>
  <c r="G42" i="20"/>
  <c r="E43" i="20"/>
  <c r="F43" i="20" s="1"/>
  <c r="B43" i="20"/>
  <c r="H42" i="20"/>
  <c r="F31" i="31"/>
  <c r="H31" i="31" s="1"/>
  <c r="B31" i="31"/>
  <c r="F30" i="37"/>
  <c r="G30" i="37" s="1"/>
  <c r="B30" i="37"/>
  <c r="B29" i="38"/>
  <c r="F29" i="38"/>
  <c r="F35" i="28"/>
  <c r="H35" i="28" s="1"/>
  <c r="B35" i="28"/>
  <c r="G34" i="22"/>
  <c r="I34" i="22" s="1"/>
  <c r="F35" i="27"/>
  <c r="H35" i="27" s="1"/>
  <c r="B35" i="27"/>
  <c r="D38" i="18"/>
  <c r="E38" i="18"/>
  <c r="H35" i="21"/>
  <c r="I35" i="21" s="1"/>
  <c r="B31" i="35"/>
  <c r="F31" i="35"/>
  <c r="G31" i="35" s="1"/>
  <c r="D40" i="3"/>
  <c r="E40" i="3"/>
  <c r="H37" i="18"/>
  <c r="J118" i="18"/>
  <c r="F32" i="29"/>
  <c r="D39" i="4"/>
  <c r="E39" i="4"/>
  <c r="G39" i="3"/>
  <c r="I39" i="3" s="1"/>
  <c r="G37" i="18"/>
  <c r="F34" i="26"/>
  <c r="G34" i="26" s="1"/>
  <c r="B34" i="26"/>
  <c r="D36" i="21"/>
  <c r="E36" i="21"/>
  <c r="F31" i="34"/>
  <c r="G31" i="34" s="1"/>
  <c r="B31" i="34"/>
  <c r="D38" i="19"/>
  <c r="E38" i="19"/>
  <c r="E33" i="13"/>
  <c r="F33" i="13" s="1"/>
  <c r="J111" i="37"/>
  <c r="G119" i="18"/>
  <c r="D120" i="18"/>
  <c r="E120" i="18"/>
  <c r="E121" i="4"/>
  <c r="G120" i="4"/>
  <c r="D121" i="4"/>
  <c r="G113" i="35"/>
  <c r="D114" i="35"/>
  <c r="E114" i="35"/>
  <c r="B116" i="25"/>
  <c r="F116" i="25"/>
  <c r="J116" i="24"/>
  <c r="J115" i="26"/>
  <c r="J112" i="35"/>
  <c r="H115" i="25"/>
  <c r="I115" i="25"/>
  <c r="E118" i="28"/>
  <c r="G117" i="28"/>
  <c r="D118" i="28"/>
  <c r="D113" i="37"/>
  <c r="E113" i="37"/>
  <c r="G112" i="37"/>
  <c r="G113" i="31"/>
  <c r="E114" i="31"/>
  <c r="D114" i="31"/>
  <c r="G116" i="26"/>
  <c r="D117" i="26"/>
  <c r="E117" i="26"/>
  <c r="J116" i="28"/>
  <c r="J112" i="31"/>
  <c r="H119" i="19"/>
  <c r="I119" i="19"/>
  <c r="F120" i="19"/>
  <c r="B120" i="19"/>
  <c r="J116" i="27"/>
  <c r="H118" i="29"/>
  <c r="I118" i="29"/>
  <c r="J112" i="34"/>
  <c r="D118" i="24"/>
  <c r="G117" i="24"/>
  <c r="E118" i="24"/>
  <c r="G117" i="21"/>
  <c r="D118" i="21"/>
  <c r="E118" i="21"/>
  <c r="F119" i="29"/>
  <c r="D114" i="38"/>
  <c r="G113" i="38"/>
  <c r="J116" i="21"/>
  <c r="J112" i="38"/>
  <c r="D114" i="34"/>
  <c r="G113" i="34"/>
  <c r="E114" i="34"/>
  <c r="D118" i="27"/>
  <c r="G117" i="27"/>
  <c r="E118" i="27"/>
  <c r="B121" i="3"/>
  <c r="F121" i="3"/>
  <c r="I113" i="20"/>
  <c r="H113" i="20"/>
  <c r="H120" i="3"/>
  <c r="I120" i="3"/>
  <c r="F122" i="23"/>
  <c r="F117" i="22"/>
  <c r="B117" i="22"/>
  <c r="B114" i="20"/>
  <c r="F114" i="20"/>
  <c r="I116" i="22"/>
  <c r="H116" i="22"/>
  <c r="H121" i="23"/>
  <c r="I121" i="23"/>
  <c r="B36" i="24" l="1"/>
  <c r="F36" i="24"/>
  <c r="G36" i="24" s="1"/>
  <c r="H113" i="13"/>
  <c r="I113" i="13"/>
  <c r="J115" i="25"/>
  <c r="E114" i="13"/>
  <c r="F114" i="13" s="1"/>
  <c r="B114" i="13"/>
  <c r="H34" i="26"/>
  <c r="I34" i="26" s="1"/>
  <c r="H31" i="35"/>
  <c r="I31" i="35" s="1"/>
  <c r="D34" i="13"/>
  <c r="E34" i="13" s="1"/>
  <c r="H33" i="13"/>
  <c r="G33" i="13"/>
  <c r="D33" i="29"/>
  <c r="E33" i="29"/>
  <c r="D30" i="38"/>
  <c r="E30" i="38"/>
  <c r="E36" i="23"/>
  <c r="D36" i="23"/>
  <c r="D32" i="34"/>
  <c r="E32" i="34"/>
  <c r="H32" i="29"/>
  <c r="G29" i="38"/>
  <c r="D32" i="31"/>
  <c r="E32" i="31"/>
  <c r="D34" i="25"/>
  <c r="E34" i="25"/>
  <c r="H31" i="34"/>
  <c r="I31" i="34" s="1"/>
  <c r="I37" i="18"/>
  <c r="I42" i="20"/>
  <c r="F38" i="18"/>
  <c r="G38" i="18" s="1"/>
  <c r="B38" i="18"/>
  <c r="G35" i="28"/>
  <c r="I35" i="28" s="1"/>
  <c r="H30" i="37"/>
  <c r="I30" i="37" s="1"/>
  <c r="B35" i="22"/>
  <c r="F35" i="22"/>
  <c r="G35" i="22" s="1"/>
  <c r="B36" i="21"/>
  <c r="F36" i="21"/>
  <c r="H36" i="21" s="1"/>
  <c r="B40" i="3"/>
  <c r="F40" i="3"/>
  <c r="H40" i="3" s="1"/>
  <c r="E44" i="20"/>
  <c r="F44" i="20" s="1"/>
  <c r="B44" i="20"/>
  <c r="H43" i="20"/>
  <c r="G43" i="20"/>
  <c r="H35" i="23"/>
  <c r="F39" i="4"/>
  <c r="H39" i="4" s="1"/>
  <c r="B39" i="4"/>
  <c r="D36" i="27"/>
  <c r="E36" i="27"/>
  <c r="D36" i="28"/>
  <c r="E36" i="28" s="1"/>
  <c r="D31" i="37"/>
  <c r="E31" i="37"/>
  <c r="F38" i="19"/>
  <c r="H38" i="19" s="1"/>
  <c r="B38" i="19"/>
  <c r="D35" i="26"/>
  <c r="E35" i="26"/>
  <c r="G32" i="29"/>
  <c r="D32" i="35"/>
  <c r="E32" i="35"/>
  <c r="G35" i="27"/>
  <c r="I35" i="27" s="1"/>
  <c r="H29" i="38"/>
  <c r="G31" i="31"/>
  <c r="I31" i="31" s="1"/>
  <c r="G33" i="25"/>
  <c r="I33" i="25" s="1"/>
  <c r="G35" i="23"/>
  <c r="F121" i="4"/>
  <c r="B121" i="4"/>
  <c r="J120" i="3"/>
  <c r="F120" i="18"/>
  <c r="B120" i="18"/>
  <c r="I119" i="18"/>
  <c r="H119" i="18"/>
  <c r="H120" i="4"/>
  <c r="I120" i="4"/>
  <c r="F113" i="37"/>
  <c r="B113" i="37"/>
  <c r="B117" i="26"/>
  <c r="F117" i="26"/>
  <c r="F118" i="28"/>
  <c r="B118" i="28"/>
  <c r="D117" i="25"/>
  <c r="E117" i="25"/>
  <c r="G116" i="25"/>
  <c r="H116" i="26"/>
  <c r="I116" i="26"/>
  <c r="I117" i="28"/>
  <c r="H117" i="28"/>
  <c r="B114" i="31"/>
  <c r="F114" i="31"/>
  <c r="B114" i="35"/>
  <c r="F114" i="35"/>
  <c r="H113" i="31"/>
  <c r="I113" i="31"/>
  <c r="H113" i="35"/>
  <c r="I113" i="35"/>
  <c r="I112" i="37"/>
  <c r="H112" i="37"/>
  <c r="H113" i="34"/>
  <c r="I113" i="34"/>
  <c r="F114" i="34"/>
  <c r="B114" i="34"/>
  <c r="D120" i="29"/>
  <c r="E120" i="29" s="1"/>
  <c r="G119" i="29"/>
  <c r="J118" i="29"/>
  <c r="D121" i="19"/>
  <c r="E121" i="19" s="1"/>
  <c r="G120" i="19"/>
  <c r="B114" i="38"/>
  <c r="E114" i="38"/>
  <c r="F114" i="38" s="1"/>
  <c r="B118" i="21"/>
  <c r="F118" i="21"/>
  <c r="I117" i="21"/>
  <c r="H117" i="21"/>
  <c r="H117" i="27"/>
  <c r="I117" i="27"/>
  <c r="B118" i="24"/>
  <c r="F118" i="24"/>
  <c r="J121" i="23"/>
  <c r="F118" i="27"/>
  <c r="B118" i="27"/>
  <c r="H113" i="38"/>
  <c r="I113" i="38"/>
  <c r="H117" i="24"/>
  <c r="I117" i="24"/>
  <c r="J119" i="19"/>
  <c r="D115" i="20"/>
  <c r="G114" i="20"/>
  <c r="J113" i="20"/>
  <c r="E118" i="22"/>
  <c r="G117" i="22"/>
  <c r="D118" i="22"/>
  <c r="J116" i="22"/>
  <c r="D122" i="3"/>
  <c r="G121" i="3"/>
  <c r="G122" i="23"/>
  <c r="D123" i="23"/>
  <c r="I29" i="38" l="1"/>
  <c r="H36" i="24"/>
  <c r="I36" i="24" s="1"/>
  <c r="D37" i="24"/>
  <c r="E37" i="24"/>
  <c r="J113" i="13"/>
  <c r="J117" i="27"/>
  <c r="D115" i="13"/>
  <c r="G114" i="13"/>
  <c r="G36" i="21"/>
  <c r="I36" i="21" s="1"/>
  <c r="G39" i="4"/>
  <c r="I39" i="4"/>
  <c r="H38" i="18"/>
  <c r="I38" i="18" s="1"/>
  <c r="G40" i="3"/>
  <c r="I40" i="3" s="1"/>
  <c r="F36" i="27"/>
  <c r="H36" i="27" s="1"/>
  <c r="B36" i="27"/>
  <c r="F33" i="29"/>
  <c r="G33" i="29" s="1"/>
  <c r="B45" i="20"/>
  <c r="H44" i="20"/>
  <c r="E45" i="20"/>
  <c r="F45" i="20" s="1"/>
  <c r="G44" i="20"/>
  <c r="F32" i="34"/>
  <c r="G32" i="34" s="1"/>
  <c r="B32" i="34"/>
  <c r="B35" i="26"/>
  <c r="F35" i="26"/>
  <c r="G35" i="26" s="1"/>
  <c r="B34" i="25"/>
  <c r="F34" i="25"/>
  <c r="H34" i="25" s="1"/>
  <c r="B36" i="23"/>
  <c r="F36" i="23"/>
  <c r="H36" i="23" s="1"/>
  <c r="J113" i="35"/>
  <c r="J119" i="18"/>
  <c r="G38" i="19"/>
  <c r="I38" i="19" s="1"/>
  <c r="D39" i="18"/>
  <c r="E39" i="18"/>
  <c r="F31" i="37"/>
  <c r="H31" i="37" s="1"/>
  <c r="B31" i="37"/>
  <c r="D40" i="4"/>
  <c r="E40" i="4"/>
  <c r="D41" i="3"/>
  <c r="E41" i="3"/>
  <c r="D36" i="22"/>
  <c r="E36" i="22"/>
  <c r="B32" i="31"/>
  <c r="F32" i="31"/>
  <c r="H32" i="31" s="1"/>
  <c r="I33" i="13"/>
  <c r="J113" i="38"/>
  <c r="J113" i="31"/>
  <c r="J116" i="26"/>
  <c r="I35" i="23"/>
  <c r="F30" i="38"/>
  <c r="H30" i="38" s="1"/>
  <c r="B30" i="38"/>
  <c r="B34" i="13"/>
  <c r="F34" i="13"/>
  <c r="H34" i="13" s="1"/>
  <c r="D39" i="19"/>
  <c r="E39" i="19"/>
  <c r="B36" i="28"/>
  <c r="F36" i="28"/>
  <c r="G36" i="28" s="1"/>
  <c r="H35" i="22"/>
  <c r="I35" i="22" s="1"/>
  <c r="I32" i="29"/>
  <c r="J113" i="34"/>
  <c r="F32" i="35"/>
  <c r="H32" i="35" s="1"/>
  <c r="B32" i="35"/>
  <c r="I43" i="20"/>
  <c r="D37" i="21"/>
  <c r="E37" i="21"/>
  <c r="J117" i="24"/>
  <c r="G120" i="18"/>
  <c r="D121" i="18"/>
  <c r="B121" i="18" s="1"/>
  <c r="J120" i="4"/>
  <c r="G121" i="4"/>
  <c r="D122" i="4"/>
  <c r="D115" i="31"/>
  <c r="G114" i="31"/>
  <c r="E115" i="31"/>
  <c r="F117" i="25"/>
  <c r="B117" i="25"/>
  <c r="J112" i="37"/>
  <c r="G118" i="28"/>
  <c r="E119" i="28"/>
  <c r="D119" i="28"/>
  <c r="J117" i="28"/>
  <c r="D118" i="26"/>
  <c r="G117" i="26"/>
  <c r="E118" i="26"/>
  <c r="G114" i="35"/>
  <c r="E115" i="35"/>
  <c r="D115" i="35"/>
  <c r="H116" i="25"/>
  <c r="I116" i="25"/>
  <c r="D114" i="37"/>
  <c r="G113" i="37"/>
  <c r="E114" i="37"/>
  <c r="J117" i="21"/>
  <c r="F121" i="19"/>
  <c r="B121" i="19"/>
  <c r="G114" i="34"/>
  <c r="D115" i="34"/>
  <c r="E115" i="34"/>
  <c r="G118" i="27"/>
  <c r="D119" i="27"/>
  <c r="E119" i="27"/>
  <c r="D115" i="38"/>
  <c r="E115" i="38" s="1"/>
  <c r="G114" i="38"/>
  <c r="G118" i="21"/>
  <c r="D119" i="21"/>
  <c r="E119" i="21"/>
  <c r="G118" i="24"/>
  <c r="D119" i="24"/>
  <c r="E119" i="24"/>
  <c r="I120" i="19"/>
  <c r="H120" i="19"/>
  <c r="F120" i="29"/>
  <c r="H119" i="29"/>
  <c r="I119" i="29"/>
  <c r="B118" i="22"/>
  <c r="F118" i="22"/>
  <c r="B122" i="3"/>
  <c r="B115" i="20"/>
  <c r="H122" i="23"/>
  <c r="I122" i="23"/>
  <c r="H121" i="3"/>
  <c r="I121" i="3"/>
  <c r="H114" i="20"/>
  <c r="I114" i="20"/>
  <c r="I117" i="22"/>
  <c r="H117" i="22"/>
  <c r="E123" i="23"/>
  <c r="F123" i="23" s="1"/>
  <c r="E122" i="3"/>
  <c r="F122" i="3" s="1"/>
  <c r="E115" i="20"/>
  <c r="F115" i="20" s="1"/>
  <c r="B37" i="24" l="1"/>
  <c r="F37" i="24"/>
  <c r="G37" i="24" s="1"/>
  <c r="H114" i="13"/>
  <c r="I114" i="13"/>
  <c r="E115" i="13"/>
  <c r="F115" i="13" s="1"/>
  <c r="B115" i="13"/>
  <c r="G36" i="27"/>
  <c r="I36" i="27" s="1"/>
  <c r="G32" i="31"/>
  <c r="I32" i="31" s="1"/>
  <c r="G30" i="38"/>
  <c r="I30" i="38" s="1"/>
  <c r="H32" i="34"/>
  <c r="I32" i="34" s="1"/>
  <c r="G34" i="13"/>
  <c r="I34" i="13" s="1"/>
  <c r="G31" i="37"/>
  <c r="I31" i="37" s="1"/>
  <c r="F37" i="21"/>
  <c r="G37" i="21" s="1"/>
  <c r="B37" i="21"/>
  <c r="G34" i="25"/>
  <c r="I34" i="25" s="1"/>
  <c r="D33" i="34"/>
  <c r="E33" i="34"/>
  <c r="D35" i="13"/>
  <c r="E37" i="23"/>
  <c r="D37" i="23"/>
  <c r="G32" i="35"/>
  <c r="I32" i="35" s="1"/>
  <c r="D37" i="28"/>
  <c r="E37" i="28" s="1"/>
  <c r="B36" i="22"/>
  <c r="F36" i="22"/>
  <c r="D32" i="37"/>
  <c r="E32" i="37"/>
  <c r="D36" i="26"/>
  <c r="E36" i="26"/>
  <c r="E46" i="20"/>
  <c r="F46" i="20" s="1"/>
  <c r="G45" i="20"/>
  <c r="H45" i="20"/>
  <c r="B46" i="20"/>
  <c r="G36" i="23"/>
  <c r="I36" i="23" s="1"/>
  <c r="I44" i="20"/>
  <c r="D37" i="27"/>
  <c r="E37" i="27"/>
  <c r="J122" i="23"/>
  <c r="H36" i="28"/>
  <c r="I36" i="28" s="1"/>
  <c r="F41" i="3"/>
  <c r="B41" i="3"/>
  <c r="F39" i="18"/>
  <c r="H39" i="18" s="1"/>
  <c r="B39" i="18"/>
  <c r="H35" i="26"/>
  <c r="I35" i="26" s="1"/>
  <c r="D33" i="35"/>
  <c r="E33" i="35"/>
  <c r="D35" i="25"/>
  <c r="E35" i="25"/>
  <c r="D34" i="29"/>
  <c r="E34" i="29"/>
  <c r="B39" i="19"/>
  <c r="F39" i="19"/>
  <c r="H39" i="19" s="1"/>
  <c r="D31" i="38"/>
  <c r="E31" i="38"/>
  <c r="D33" i="31"/>
  <c r="E33" i="31"/>
  <c r="F40" i="4"/>
  <c r="H40" i="4" s="1"/>
  <c r="B40" i="4"/>
  <c r="H33" i="29"/>
  <c r="I33" i="29" s="1"/>
  <c r="E122" i="4"/>
  <c r="F122" i="4" s="1"/>
  <c r="B122" i="4"/>
  <c r="H121" i="4"/>
  <c r="I121" i="4"/>
  <c r="J119" i="29"/>
  <c r="E121" i="18"/>
  <c r="F121" i="18" s="1"/>
  <c r="I120" i="18"/>
  <c r="H120" i="18"/>
  <c r="B115" i="35"/>
  <c r="F115" i="35"/>
  <c r="H118" i="28"/>
  <c r="I118" i="28"/>
  <c r="H114" i="35"/>
  <c r="I114" i="35"/>
  <c r="H113" i="37"/>
  <c r="I113" i="37"/>
  <c r="I117" i="26"/>
  <c r="H117" i="26"/>
  <c r="D118" i="25"/>
  <c r="G117" i="25"/>
  <c r="E118" i="25"/>
  <c r="B114" i="37"/>
  <c r="F114" i="37"/>
  <c r="F118" i="26"/>
  <c r="B118" i="26"/>
  <c r="J116" i="25"/>
  <c r="I114" i="31"/>
  <c r="H114" i="31"/>
  <c r="J121" i="3"/>
  <c r="B119" i="28"/>
  <c r="F119" i="28"/>
  <c r="F115" i="31"/>
  <c r="B115" i="31"/>
  <c r="H118" i="24"/>
  <c r="I118" i="24"/>
  <c r="H114" i="38"/>
  <c r="I114" i="38"/>
  <c r="B119" i="21"/>
  <c r="F119" i="21"/>
  <c r="I118" i="21"/>
  <c r="H118" i="21"/>
  <c r="H114" i="34"/>
  <c r="I114" i="34"/>
  <c r="B119" i="24"/>
  <c r="F119" i="24"/>
  <c r="B115" i="34"/>
  <c r="F115" i="34"/>
  <c r="F119" i="27"/>
  <c r="B119" i="27"/>
  <c r="D122" i="19"/>
  <c r="G121" i="19"/>
  <c r="J120" i="19"/>
  <c r="D121" i="29"/>
  <c r="G120" i="29"/>
  <c r="F115" i="38"/>
  <c r="B115" i="38"/>
  <c r="J114" i="20"/>
  <c r="I118" i="27"/>
  <c r="H118" i="27"/>
  <c r="G115" i="20"/>
  <c r="D116" i="20"/>
  <c r="E116" i="20" s="1"/>
  <c r="D123" i="3"/>
  <c r="E123" i="3" s="1"/>
  <c r="G122" i="3"/>
  <c r="G123" i="23"/>
  <c r="D124" i="23"/>
  <c r="E124" i="23" s="1"/>
  <c r="J117" i="22"/>
  <c r="G118" i="22"/>
  <c r="D119" i="22"/>
  <c r="H37" i="24" l="1"/>
  <c r="I37" i="24" s="1"/>
  <c r="E38" i="24"/>
  <c r="D38" i="24"/>
  <c r="H37" i="21"/>
  <c r="I37" i="21" s="1"/>
  <c r="J114" i="13"/>
  <c r="G115" i="13"/>
  <c r="D116" i="13"/>
  <c r="J114" i="35"/>
  <c r="J118" i="28"/>
  <c r="I45" i="20"/>
  <c r="G39" i="18"/>
  <c r="I39" i="18" s="1"/>
  <c r="J121" i="4"/>
  <c r="J120" i="18"/>
  <c r="D42" i="3"/>
  <c r="E42" i="3"/>
  <c r="F33" i="34"/>
  <c r="G33" i="34" s="1"/>
  <c r="B33" i="34"/>
  <c r="B31" i="38"/>
  <c r="F31" i="38"/>
  <c r="G31" i="38" s="1"/>
  <c r="B32" i="37"/>
  <c r="F32" i="37"/>
  <c r="G32" i="37" s="1"/>
  <c r="B37" i="23"/>
  <c r="F37" i="23"/>
  <c r="H37" i="23" s="1"/>
  <c r="D37" i="22"/>
  <c r="E37" i="22"/>
  <c r="D40" i="19"/>
  <c r="E40" i="19"/>
  <c r="F34" i="29"/>
  <c r="H36" i="22"/>
  <c r="B35" i="13"/>
  <c r="D41" i="4"/>
  <c r="E41" i="4"/>
  <c r="D40" i="18"/>
  <c r="E40" i="18"/>
  <c r="G36" i="22"/>
  <c r="E35" i="13"/>
  <c r="F35" i="13" s="1"/>
  <c r="G40" i="4"/>
  <c r="I40" i="4" s="1"/>
  <c r="G39" i="19"/>
  <c r="I39" i="19" s="1"/>
  <c r="B35" i="25"/>
  <c r="F35" i="25"/>
  <c r="H35" i="25" s="1"/>
  <c r="B37" i="27"/>
  <c r="F37" i="27"/>
  <c r="H37" i="27" s="1"/>
  <c r="G46" i="20"/>
  <c r="B47" i="20"/>
  <c r="H46" i="20"/>
  <c r="E47" i="20"/>
  <c r="F47" i="20" s="1"/>
  <c r="D38" i="21"/>
  <c r="E38" i="21"/>
  <c r="H41" i="3"/>
  <c r="F33" i="31"/>
  <c r="H33" i="31" s="1"/>
  <c r="B33" i="31"/>
  <c r="F33" i="35"/>
  <c r="B33" i="35"/>
  <c r="G41" i="3"/>
  <c r="B36" i="26"/>
  <c r="F36" i="26"/>
  <c r="G36" i="26" s="1"/>
  <c r="B37" i="28"/>
  <c r="F37" i="28"/>
  <c r="H37" i="28" s="1"/>
  <c r="G121" i="18"/>
  <c r="D122" i="18"/>
  <c r="J114" i="31"/>
  <c r="D123" i="4"/>
  <c r="G122" i="4"/>
  <c r="G119" i="28"/>
  <c r="D120" i="28"/>
  <c r="B120" i="28" s="1"/>
  <c r="E120" i="28"/>
  <c r="G114" i="37"/>
  <c r="E115" i="37"/>
  <c r="D115" i="37"/>
  <c r="I117" i="25"/>
  <c r="H117" i="25"/>
  <c r="F118" i="25"/>
  <c r="B118" i="25"/>
  <c r="J117" i="26"/>
  <c r="E116" i="35"/>
  <c r="G115" i="35"/>
  <c r="D116" i="35"/>
  <c r="J114" i="34"/>
  <c r="D116" i="31"/>
  <c r="G115" i="31"/>
  <c r="E116" i="31"/>
  <c r="D119" i="26"/>
  <c r="E119" i="26" s="1"/>
  <c r="G118" i="26"/>
  <c r="J113" i="37"/>
  <c r="G119" i="27"/>
  <c r="D120" i="27"/>
  <c r="E120" i="27" s="1"/>
  <c r="J118" i="21"/>
  <c r="B122" i="19"/>
  <c r="G115" i="34"/>
  <c r="D116" i="34"/>
  <c r="E116" i="34"/>
  <c r="D120" i="21"/>
  <c r="E120" i="21" s="1"/>
  <c r="G119" i="21"/>
  <c r="J118" i="27"/>
  <c r="G115" i="38"/>
  <c r="D116" i="38"/>
  <c r="E116" i="38" s="1"/>
  <c r="E122" i="19"/>
  <c r="F122" i="19" s="1"/>
  <c r="H120" i="29"/>
  <c r="I120" i="29"/>
  <c r="E121" i="29"/>
  <c r="F121" i="29" s="1"/>
  <c r="I121" i="19"/>
  <c r="H121" i="19"/>
  <c r="D120" i="24"/>
  <c r="G119" i="24"/>
  <c r="E120" i="24"/>
  <c r="J114" i="38"/>
  <c r="J118" i="24"/>
  <c r="H122" i="3"/>
  <c r="I122" i="3"/>
  <c r="B123" i="3"/>
  <c r="F123" i="3"/>
  <c r="B119" i="22"/>
  <c r="I118" i="22"/>
  <c r="H118" i="22"/>
  <c r="B116" i="20"/>
  <c r="F116" i="20"/>
  <c r="I123" i="23"/>
  <c r="H123" i="23"/>
  <c r="E119" i="22"/>
  <c r="F119" i="22" s="1"/>
  <c r="F124" i="23"/>
  <c r="I115" i="20"/>
  <c r="H115" i="20"/>
  <c r="I46" i="20" l="1"/>
  <c r="F38" i="24"/>
  <c r="G38" i="24" s="1"/>
  <c r="B38" i="24"/>
  <c r="F120" i="28"/>
  <c r="G120" i="28" s="1"/>
  <c r="E116" i="13"/>
  <c r="F116" i="13" s="1"/>
  <c r="B116" i="13"/>
  <c r="H115" i="13"/>
  <c r="I115" i="13"/>
  <c r="H31" i="38"/>
  <c r="I31" i="38" s="1"/>
  <c r="H33" i="34"/>
  <c r="I33" i="34" s="1"/>
  <c r="G33" i="31"/>
  <c r="I33" i="31" s="1"/>
  <c r="G37" i="27"/>
  <c r="I37" i="27" s="1"/>
  <c r="G35" i="25"/>
  <c r="I35" i="25" s="1"/>
  <c r="D36" i="13"/>
  <c r="E36" i="13" s="1"/>
  <c r="G35" i="13"/>
  <c r="H35" i="13"/>
  <c r="D34" i="35"/>
  <c r="E34" i="35"/>
  <c r="F40" i="19"/>
  <c r="H40" i="19" s="1"/>
  <c r="B40" i="19"/>
  <c r="D33" i="37"/>
  <c r="E33" i="37"/>
  <c r="D37" i="26"/>
  <c r="E37" i="26"/>
  <c r="B38" i="21"/>
  <c r="F38" i="21"/>
  <c r="G38" i="21" s="1"/>
  <c r="H47" i="20"/>
  <c r="E48" i="20"/>
  <c r="F48" i="20" s="1"/>
  <c r="G47" i="20"/>
  <c r="B48" i="20"/>
  <c r="B37" i="22"/>
  <c r="F37" i="22"/>
  <c r="H37" i="22" s="1"/>
  <c r="H32" i="37"/>
  <c r="I32" i="37" s="1"/>
  <c r="H36" i="26"/>
  <c r="I36" i="26" s="1"/>
  <c r="I36" i="22"/>
  <c r="D34" i="34"/>
  <c r="E34" i="34"/>
  <c r="D36" i="25"/>
  <c r="E36" i="25"/>
  <c r="B40" i="18"/>
  <c r="F40" i="18"/>
  <c r="D35" i="29"/>
  <c r="E35" i="29"/>
  <c r="D38" i="28"/>
  <c r="E38" i="28"/>
  <c r="G33" i="35"/>
  <c r="G34" i="29"/>
  <c r="D38" i="23"/>
  <c r="E38" i="23"/>
  <c r="B42" i="3"/>
  <c r="F42" i="3"/>
  <c r="G42" i="3" s="1"/>
  <c r="H33" i="35"/>
  <c r="D34" i="31"/>
  <c r="E34" i="31"/>
  <c r="B41" i="4"/>
  <c r="F41" i="4"/>
  <c r="H34" i="29"/>
  <c r="D32" i="38"/>
  <c r="E32" i="38"/>
  <c r="G37" i="28"/>
  <c r="I37" i="28" s="1"/>
  <c r="I41" i="3"/>
  <c r="D38" i="27"/>
  <c r="E38" i="27"/>
  <c r="G37" i="23"/>
  <c r="I37" i="23" s="1"/>
  <c r="H122" i="4"/>
  <c r="I122" i="4"/>
  <c r="J117" i="25"/>
  <c r="E123" i="4"/>
  <c r="F123" i="4" s="1"/>
  <c r="B123" i="4"/>
  <c r="E122" i="18"/>
  <c r="F122" i="18" s="1"/>
  <c r="B122" i="18"/>
  <c r="H121" i="18"/>
  <c r="I121" i="18"/>
  <c r="F116" i="31"/>
  <c r="B116" i="31"/>
  <c r="B116" i="35"/>
  <c r="F116" i="35"/>
  <c r="B115" i="37"/>
  <c r="F115" i="37"/>
  <c r="H115" i="35"/>
  <c r="I115" i="35"/>
  <c r="H118" i="26"/>
  <c r="I118" i="26"/>
  <c r="I114" i="37"/>
  <c r="H114" i="37"/>
  <c r="B119" i="26"/>
  <c r="F119" i="26"/>
  <c r="D121" i="28"/>
  <c r="E121" i="28" s="1"/>
  <c r="H115" i="31"/>
  <c r="I115" i="31"/>
  <c r="G118" i="25"/>
  <c r="D119" i="25"/>
  <c r="E119" i="25" s="1"/>
  <c r="I119" i="28"/>
  <c r="H119" i="28"/>
  <c r="J120" i="29"/>
  <c r="J121" i="19"/>
  <c r="G122" i="19"/>
  <c r="D123" i="19"/>
  <c r="E123" i="19" s="1"/>
  <c r="G121" i="29"/>
  <c r="D122" i="29"/>
  <c r="E122" i="29" s="1"/>
  <c r="F120" i="21"/>
  <c r="B120" i="21"/>
  <c r="H115" i="38"/>
  <c r="I115" i="38"/>
  <c r="I119" i="21"/>
  <c r="H119" i="21"/>
  <c r="H119" i="24"/>
  <c r="I119" i="24"/>
  <c r="B120" i="27"/>
  <c r="F120" i="27"/>
  <c r="F116" i="38"/>
  <c r="B116" i="38"/>
  <c r="J115" i="20"/>
  <c r="J122" i="3"/>
  <c r="B116" i="34"/>
  <c r="F116" i="34"/>
  <c r="H119" i="27"/>
  <c r="I119" i="27"/>
  <c r="B120" i="24"/>
  <c r="F120" i="24"/>
  <c r="I115" i="34"/>
  <c r="H115" i="34"/>
  <c r="G119" i="22"/>
  <c r="D120" i="22"/>
  <c r="E120" i="22" s="1"/>
  <c r="D125" i="23"/>
  <c r="G124" i="23"/>
  <c r="J123" i="23"/>
  <c r="J118" i="22"/>
  <c r="D124" i="3"/>
  <c r="E124" i="3" s="1"/>
  <c r="G123" i="3"/>
  <c r="G116" i="20"/>
  <c r="D117" i="20"/>
  <c r="H38" i="24" l="1"/>
  <c r="H38" i="21"/>
  <c r="I38" i="21" s="1"/>
  <c r="I38" i="24"/>
  <c r="D39" i="24"/>
  <c r="E39" i="24"/>
  <c r="I34" i="29"/>
  <c r="J115" i="35"/>
  <c r="J118" i="26"/>
  <c r="G37" i="22"/>
  <c r="I37" i="22" s="1"/>
  <c r="J115" i="31"/>
  <c r="D117" i="13"/>
  <c r="G116" i="13"/>
  <c r="J119" i="28"/>
  <c r="J115" i="13"/>
  <c r="I33" i="35"/>
  <c r="I35" i="13"/>
  <c r="I47" i="20"/>
  <c r="G40" i="19"/>
  <c r="I40" i="19" s="1"/>
  <c r="J121" i="18"/>
  <c r="D41" i="18"/>
  <c r="E41" i="18"/>
  <c r="B49" i="20"/>
  <c r="H48" i="20"/>
  <c r="G48" i="20"/>
  <c r="E49" i="20"/>
  <c r="F49" i="20" s="1"/>
  <c r="D42" i="4"/>
  <c r="E42" i="4"/>
  <c r="H41" i="4"/>
  <c r="D43" i="3"/>
  <c r="E43" i="3"/>
  <c r="B38" i="28"/>
  <c r="F38" i="28"/>
  <c r="B38" i="27"/>
  <c r="F38" i="27"/>
  <c r="G41" i="4"/>
  <c r="H42" i="3"/>
  <c r="I42" i="3" s="1"/>
  <c r="B36" i="25"/>
  <c r="F36" i="25"/>
  <c r="G36" i="25" s="1"/>
  <c r="B37" i="26"/>
  <c r="F37" i="26"/>
  <c r="G37" i="26" s="1"/>
  <c r="B34" i="35"/>
  <c r="F34" i="35"/>
  <c r="D38" i="22"/>
  <c r="E38" i="22"/>
  <c r="D39" i="21"/>
  <c r="E39" i="21"/>
  <c r="F35" i="29"/>
  <c r="H35" i="29" s="1"/>
  <c r="F33" i="37"/>
  <c r="G33" i="37" s="1"/>
  <c r="B33" i="37"/>
  <c r="F38" i="23"/>
  <c r="B38" i="23"/>
  <c r="H40" i="18"/>
  <c r="B34" i="34"/>
  <c r="F34" i="34"/>
  <c r="G34" i="34" s="1"/>
  <c r="J122" i="4"/>
  <c r="F32" i="38"/>
  <c r="B32" i="38"/>
  <c r="B34" i="31"/>
  <c r="F34" i="31"/>
  <c r="G40" i="18"/>
  <c r="D41" i="19"/>
  <c r="E41" i="19"/>
  <c r="F36" i="13"/>
  <c r="H36" i="13" s="1"/>
  <c r="B36" i="13"/>
  <c r="D123" i="18"/>
  <c r="G122" i="18"/>
  <c r="G123" i="4"/>
  <c r="D124" i="4"/>
  <c r="B124" i="4" s="1"/>
  <c r="J115" i="38"/>
  <c r="F121" i="28"/>
  <c r="B121" i="28"/>
  <c r="G119" i="26"/>
  <c r="D120" i="26"/>
  <c r="G115" i="37"/>
  <c r="D116" i="37"/>
  <c r="E116" i="37"/>
  <c r="B119" i="25"/>
  <c r="F119" i="25"/>
  <c r="H118" i="25"/>
  <c r="I118" i="25"/>
  <c r="G116" i="35"/>
  <c r="D117" i="35"/>
  <c r="J114" i="37"/>
  <c r="H120" i="28"/>
  <c r="I120" i="28"/>
  <c r="D117" i="31"/>
  <c r="B117" i="31" s="1"/>
  <c r="G116" i="31"/>
  <c r="D121" i="21"/>
  <c r="E121" i="21" s="1"/>
  <c r="G120" i="21"/>
  <c r="D121" i="24"/>
  <c r="E121" i="24" s="1"/>
  <c r="G120" i="24"/>
  <c r="J119" i="27"/>
  <c r="J119" i="24"/>
  <c r="F122" i="29"/>
  <c r="J119" i="21"/>
  <c r="H121" i="29"/>
  <c r="I121" i="29"/>
  <c r="D117" i="34"/>
  <c r="G116" i="34"/>
  <c r="D117" i="38"/>
  <c r="E117" i="38" s="1"/>
  <c r="G116" i="38"/>
  <c r="F123" i="19"/>
  <c r="B123" i="19"/>
  <c r="J115" i="34"/>
  <c r="D121" i="27"/>
  <c r="G120" i="27"/>
  <c r="H122" i="19"/>
  <c r="I122" i="19"/>
  <c r="B117" i="20"/>
  <c r="H119" i="22"/>
  <c r="I119" i="22"/>
  <c r="F120" i="22"/>
  <c r="B120" i="22"/>
  <c r="I116" i="20"/>
  <c r="H116" i="20"/>
  <c r="H123" i="3"/>
  <c r="I123" i="3"/>
  <c r="I124" i="23"/>
  <c r="H124" i="23"/>
  <c r="E117" i="20"/>
  <c r="F117" i="20" s="1"/>
  <c r="B124" i="3"/>
  <c r="F124" i="3"/>
  <c r="E125" i="23"/>
  <c r="F125" i="23" s="1"/>
  <c r="F39" i="24" l="1"/>
  <c r="G39" i="24" s="1"/>
  <c r="B39" i="24"/>
  <c r="I116" i="13"/>
  <c r="H116" i="13"/>
  <c r="E117" i="13"/>
  <c r="F117" i="13" s="1"/>
  <c r="B117" i="13"/>
  <c r="G35" i="29"/>
  <c r="I35" i="29" s="1"/>
  <c r="H33" i="37"/>
  <c r="I33" i="37" s="1"/>
  <c r="I40" i="18"/>
  <c r="H36" i="25"/>
  <c r="D35" i="31"/>
  <c r="E35" i="31"/>
  <c r="D35" i="34"/>
  <c r="E35" i="34"/>
  <c r="D39" i="23"/>
  <c r="E39" i="23"/>
  <c r="D39" i="28"/>
  <c r="E39" i="28" s="1"/>
  <c r="B39" i="21"/>
  <c r="F39" i="21"/>
  <c r="G39" i="21" s="1"/>
  <c r="D38" i="26"/>
  <c r="E38" i="26"/>
  <c r="F42" i="4"/>
  <c r="G42" i="4" s="1"/>
  <c r="B42" i="4"/>
  <c r="J120" i="28"/>
  <c r="D37" i="13"/>
  <c r="E37" i="13" s="1"/>
  <c r="G34" i="31"/>
  <c r="H38" i="28"/>
  <c r="H49" i="20"/>
  <c r="G49" i="20"/>
  <c r="E50" i="20"/>
  <c r="F50" i="20" s="1"/>
  <c r="B50" i="20"/>
  <c r="H34" i="34"/>
  <c r="I34" i="34" s="1"/>
  <c r="B38" i="22"/>
  <c r="F38" i="22"/>
  <c r="H37" i="26"/>
  <c r="I37" i="26" s="1"/>
  <c r="D39" i="27"/>
  <c r="E39" i="27"/>
  <c r="B41" i="19"/>
  <c r="F41" i="19"/>
  <c r="D33" i="38"/>
  <c r="E33" i="38"/>
  <c r="D34" i="37"/>
  <c r="E34" i="37"/>
  <c r="D35" i="35"/>
  <c r="E35" i="35"/>
  <c r="H38" i="27"/>
  <c r="B43" i="3"/>
  <c r="F43" i="3"/>
  <c r="H43" i="3" s="1"/>
  <c r="I48" i="20"/>
  <c r="H32" i="38"/>
  <c r="G38" i="23"/>
  <c r="I36" i="25"/>
  <c r="I41" i="4"/>
  <c r="G32" i="38"/>
  <c r="H38" i="23"/>
  <c r="D36" i="29"/>
  <c r="E36" i="29"/>
  <c r="G34" i="35"/>
  <c r="G38" i="27"/>
  <c r="G36" i="13"/>
  <c r="I36" i="13" s="1"/>
  <c r="H34" i="31"/>
  <c r="H34" i="35"/>
  <c r="D37" i="25"/>
  <c r="E37" i="25"/>
  <c r="G38" i="28"/>
  <c r="F41" i="18"/>
  <c r="H41" i="18" s="1"/>
  <c r="B41" i="18"/>
  <c r="J121" i="29"/>
  <c r="E124" i="4"/>
  <c r="F124" i="4" s="1"/>
  <c r="H123" i="4"/>
  <c r="I123" i="4"/>
  <c r="I122" i="18"/>
  <c r="H122" i="18"/>
  <c r="E117" i="31"/>
  <c r="F117" i="31" s="1"/>
  <c r="D118" i="31" s="1"/>
  <c r="J118" i="25"/>
  <c r="E123" i="18"/>
  <c r="F123" i="18" s="1"/>
  <c r="B123" i="18"/>
  <c r="B116" i="37"/>
  <c r="F116" i="37"/>
  <c r="E117" i="35"/>
  <c r="F117" i="35" s="1"/>
  <c r="B117" i="35"/>
  <c r="I115" i="37"/>
  <c r="H115" i="37"/>
  <c r="I116" i="35"/>
  <c r="H116" i="35"/>
  <c r="E120" i="26"/>
  <c r="F120" i="26" s="1"/>
  <c r="B120" i="26"/>
  <c r="I119" i="26"/>
  <c r="H119" i="26"/>
  <c r="I116" i="31"/>
  <c r="H116" i="31"/>
  <c r="D120" i="25"/>
  <c r="G119" i="25"/>
  <c r="G121" i="28"/>
  <c r="D122" i="28"/>
  <c r="E122" i="28" s="1"/>
  <c r="J122" i="19"/>
  <c r="H120" i="24"/>
  <c r="I120" i="24"/>
  <c r="B117" i="34"/>
  <c r="F117" i="38"/>
  <c r="B117" i="38"/>
  <c r="F121" i="24"/>
  <c r="B121" i="24"/>
  <c r="B121" i="27"/>
  <c r="H116" i="38"/>
  <c r="I116" i="38"/>
  <c r="J124" i="23"/>
  <c r="G123" i="19"/>
  <c r="D124" i="19"/>
  <c r="E121" i="27"/>
  <c r="F121" i="27" s="1"/>
  <c r="E117" i="34"/>
  <c r="F117" i="34" s="1"/>
  <c r="G122" i="29"/>
  <c r="D123" i="29"/>
  <c r="E123" i="29" s="1"/>
  <c r="H120" i="21"/>
  <c r="I120" i="21"/>
  <c r="J123" i="3"/>
  <c r="J119" i="22"/>
  <c r="I120" i="27"/>
  <c r="H120" i="27"/>
  <c r="H116" i="34"/>
  <c r="I116" i="34"/>
  <c r="B121" i="21"/>
  <c r="F121" i="21"/>
  <c r="G125" i="23"/>
  <c r="D126" i="23"/>
  <c r="G117" i="20"/>
  <c r="D118" i="20"/>
  <c r="E118" i="20" s="1"/>
  <c r="G120" i="22"/>
  <c r="D121" i="22"/>
  <c r="E121" i="22" s="1"/>
  <c r="J116" i="20"/>
  <c r="G124" i="3"/>
  <c r="D125" i="3"/>
  <c r="E125" i="3" s="1"/>
  <c r="H39" i="24" l="1"/>
  <c r="I39" i="24" s="1"/>
  <c r="E40" i="24"/>
  <c r="D40" i="24"/>
  <c r="I34" i="31"/>
  <c r="G117" i="13"/>
  <c r="D118" i="13"/>
  <c r="B118" i="13" s="1"/>
  <c r="G117" i="31"/>
  <c r="I117" i="31" s="1"/>
  <c r="J116" i="13"/>
  <c r="I38" i="27"/>
  <c r="H42" i="4"/>
  <c r="I42" i="4" s="1"/>
  <c r="G43" i="3"/>
  <c r="I43" i="3" s="1"/>
  <c r="I32" i="38"/>
  <c r="D42" i="19"/>
  <c r="E42" i="19"/>
  <c r="D39" i="22"/>
  <c r="E39" i="22"/>
  <c r="I38" i="28"/>
  <c r="F39" i="28"/>
  <c r="G39" i="28" s="1"/>
  <c r="B39" i="28"/>
  <c r="H41" i="19"/>
  <c r="H38" i="22"/>
  <c r="B38" i="26"/>
  <c r="F38" i="26"/>
  <c r="B39" i="23"/>
  <c r="F39" i="23"/>
  <c r="G39" i="23" s="1"/>
  <c r="B35" i="35"/>
  <c r="F35" i="35"/>
  <c r="G35" i="35" s="1"/>
  <c r="G41" i="19"/>
  <c r="B37" i="13"/>
  <c r="F37" i="13"/>
  <c r="D40" i="21"/>
  <c r="E40" i="21"/>
  <c r="B35" i="34"/>
  <c r="F35" i="34"/>
  <c r="G35" i="34" s="1"/>
  <c r="D42" i="18"/>
  <c r="E42" i="18"/>
  <c r="F37" i="25"/>
  <c r="G37" i="25" s="1"/>
  <c r="B37" i="25"/>
  <c r="F36" i="29"/>
  <c r="G36" i="29" s="1"/>
  <c r="F34" i="37"/>
  <c r="H34" i="37" s="1"/>
  <c r="B34" i="37"/>
  <c r="B39" i="27"/>
  <c r="F39" i="27"/>
  <c r="B51" i="20"/>
  <c r="H50" i="20"/>
  <c r="G50" i="20"/>
  <c r="E51" i="20"/>
  <c r="F51" i="20" s="1"/>
  <c r="G41" i="18"/>
  <c r="I41" i="18" s="1"/>
  <c r="I34" i="35"/>
  <c r="I38" i="23"/>
  <c r="H39" i="21"/>
  <c r="I39" i="21" s="1"/>
  <c r="B35" i="31"/>
  <c r="F35" i="31"/>
  <c r="J123" i="4"/>
  <c r="D44" i="3"/>
  <c r="E44" i="3"/>
  <c r="B33" i="38"/>
  <c r="F33" i="38"/>
  <c r="G33" i="38" s="1"/>
  <c r="G38" i="22"/>
  <c r="I49" i="20"/>
  <c r="D43" i="4"/>
  <c r="E43" i="4"/>
  <c r="J116" i="38"/>
  <c r="J120" i="24"/>
  <c r="J122" i="18"/>
  <c r="G123" i="18"/>
  <c r="D124" i="18"/>
  <c r="E124" i="18" s="1"/>
  <c r="J116" i="35"/>
  <c r="D125" i="4"/>
  <c r="G124" i="4"/>
  <c r="D118" i="35"/>
  <c r="E118" i="35" s="1"/>
  <c r="G117" i="35"/>
  <c r="F122" i="28"/>
  <c r="B122" i="28"/>
  <c r="J119" i="26"/>
  <c r="H121" i="28"/>
  <c r="I121" i="28"/>
  <c r="H117" i="31"/>
  <c r="J115" i="37"/>
  <c r="H119" i="25"/>
  <c r="I119" i="25"/>
  <c r="E118" i="31"/>
  <c r="F118" i="31" s="1"/>
  <c r="B118" i="31"/>
  <c r="E120" i="25"/>
  <c r="F120" i="25" s="1"/>
  <c r="B120" i="25"/>
  <c r="G120" i="26"/>
  <c r="D121" i="26"/>
  <c r="B121" i="26" s="1"/>
  <c r="J120" i="21"/>
  <c r="G116" i="37"/>
  <c r="D117" i="37"/>
  <c r="J116" i="31"/>
  <c r="J116" i="34"/>
  <c r="G121" i="27"/>
  <c r="D122" i="27"/>
  <c r="E122" i="27" s="1"/>
  <c r="G117" i="38"/>
  <c r="D118" i="38"/>
  <c r="E118" i="38" s="1"/>
  <c r="J120" i="27"/>
  <c r="F123" i="29"/>
  <c r="B124" i="19"/>
  <c r="G117" i="34"/>
  <c r="D118" i="34"/>
  <c r="E118" i="34" s="1"/>
  <c r="H122" i="29"/>
  <c r="I122" i="29"/>
  <c r="H123" i="19"/>
  <c r="I123" i="19"/>
  <c r="D122" i="24"/>
  <c r="E122" i="24" s="1"/>
  <c r="G121" i="24"/>
  <c r="D122" i="21"/>
  <c r="E122" i="21" s="1"/>
  <c r="G121" i="21"/>
  <c r="E124" i="19"/>
  <c r="F124" i="19" s="1"/>
  <c r="F121" i="22"/>
  <c r="B121" i="22"/>
  <c r="B125" i="3"/>
  <c r="F125" i="3"/>
  <c r="I120" i="22"/>
  <c r="H120" i="22"/>
  <c r="H125" i="23"/>
  <c r="I125" i="23"/>
  <c r="F118" i="20"/>
  <c r="B118" i="20"/>
  <c r="I117" i="20"/>
  <c r="H117" i="20"/>
  <c r="I124" i="3"/>
  <c r="H124" i="3"/>
  <c r="E126" i="23"/>
  <c r="F126" i="23" s="1"/>
  <c r="B40" i="24" l="1"/>
  <c r="F40" i="24"/>
  <c r="H40" i="24" s="1"/>
  <c r="E118" i="13"/>
  <c r="F118" i="13" s="1"/>
  <c r="G118" i="13" s="1"/>
  <c r="H118" i="13" s="1"/>
  <c r="H39" i="23"/>
  <c r="I39" i="23" s="1"/>
  <c r="J119" i="25"/>
  <c r="I117" i="13"/>
  <c r="H117" i="13"/>
  <c r="G34" i="37"/>
  <c r="I34" i="37" s="1"/>
  <c r="H37" i="25"/>
  <c r="I37" i="25" s="1"/>
  <c r="H36" i="29"/>
  <c r="I36" i="29" s="1"/>
  <c r="F43" i="4"/>
  <c r="H43" i="4" s="1"/>
  <c r="B43" i="4"/>
  <c r="B44" i="3"/>
  <c r="F44" i="3"/>
  <c r="D38" i="13"/>
  <c r="E38" i="13" s="1"/>
  <c r="D39" i="26"/>
  <c r="E39" i="26"/>
  <c r="D40" i="27"/>
  <c r="E40" i="27"/>
  <c r="B42" i="18"/>
  <c r="F42" i="18"/>
  <c r="H37" i="13"/>
  <c r="D37" i="29"/>
  <c r="E37" i="29"/>
  <c r="D36" i="34"/>
  <c r="E36" i="34"/>
  <c r="G37" i="13"/>
  <c r="I38" i="22"/>
  <c r="D40" i="28"/>
  <c r="E40" i="28" s="1"/>
  <c r="D36" i="31"/>
  <c r="E36" i="31"/>
  <c r="H39" i="27"/>
  <c r="I41" i="19"/>
  <c r="D34" i="38"/>
  <c r="E34" i="38"/>
  <c r="G39" i="27"/>
  <c r="D40" i="23"/>
  <c r="E40" i="23"/>
  <c r="H35" i="31"/>
  <c r="H51" i="20"/>
  <c r="G51" i="20"/>
  <c r="E52" i="20"/>
  <c r="F52" i="20" s="1"/>
  <c r="B52" i="20"/>
  <c r="H35" i="34"/>
  <c r="I35" i="34" s="1"/>
  <c r="D36" i="35"/>
  <c r="E36" i="35"/>
  <c r="B39" i="22"/>
  <c r="F39" i="22"/>
  <c r="G39" i="22" s="1"/>
  <c r="H33" i="38"/>
  <c r="I33" i="38" s="1"/>
  <c r="G35" i="31"/>
  <c r="H38" i="26"/>
  <c r="J117" i="31"/>
  <c r="I50" i="20"/>
  <c r="D35" i="37"/>
  <c r="E35" i="37"/>
  <c r="D38" i="25"/>
  <c r="E38" i="25"/>
  <c r="F40" i="21"/>
  <c r="B40" i="21"/>
  <c r="H35" i="35"/>
  <c r="I35" i="35" s="1"/>
  <c r="G38" i="26"/>
  <c r="H39" i="28"/>
  <c r="I39" i="28" s="1"/>
  <c r="F42" i="19"/>
  <c r="G42" i="19" s="1"/>
  <c r="B42" i="19"/>
  <c r="E125" i="4"/>
  <c r="F125" i="4" s="1"/>
  <c r="B125" i="4"/>
  <c r="J125" i="23"/>
  <c r="H123" i="18"/>
  <c r="I123" i="18"/>
  <c r="F124" i="18"/>
  <c r="B124" i="18"/>
  <c r="J121" i="28"/>
  <c r="H124" i="4"/>
  <c r="I124" i="4"/>
  <c r="D121" i="25"/>
  <c r="E121" i="25" s="1"/>
  <c r="G120" i="25"/>
  <c r="H116" i="37"/>
  <c r="I116" i="37"/>
  <c r="G118" i="31"/>
  <c r="D119" i="31"/>
  <c r="E121" i="26"/>
  <c r="F121" i="26" s="1"/>
  <c r="I120" i="26"/>
  <c r="H120" i="26"/>
  <c r="G122" i="28"/>
  <c r="D123" i="28"/>
  <c r="H117" i="35"/>
  <c r="I117" i="35"/>
  <c r="E117" i="37"/>
  <c r="F117" i="37" s="1"/>
  <c r="B117" i="37"/>
  <c r="F118" i="35"/>
  <c r="B118" i="35"/>
  <c r="G124" i="19"/>
  <c r="D125" i="19"/>
  <c r="F118" i="34"/>
  <c r="B118" i="34"/>
  <c r="F118" i="38"/>
  <c r="B118" i="38"/>
  <c r="H121" i="24"/>
  <c r="I121" i="24"/>
  <c r="I117" i="34"/>
  <c r="H117" i="34"/>
  <c r="H117" i="38"/>
  <c r="I117" i="38"/>
  <c r="H121" i="21"/>
  <c r="I121" i="21"/>
  <c r="F122" i="24"/>
  <c r="B122" i="24"/>
  <c r="F122" i="21"/>
  <c r="B122" i="21"/>
  <c r="J123" i="19"/>
  <c r="B122" i="27"/>
  <c r="F122" i="27"/>
  <c r="G123" i="29"/>
  <c r="D124" i="29"/>
  <c r="J122" i="29"/>
  <c r="H121" i="27"/>
  <c r="I121" i="27"/>
  <c r="J120" i="22"/>
  <c r="J117" i="20"/>
  <c r="D122" i="22"/>
  <c r="G121" i="22"/>
  <c r="D126" i="3"/>
  <c r="E126" i="3" s="1"/>
  <c r="G125" i="3"/>
  <c r="J124" i="3"/>
  <c r="D127" i="23"/>
  <c r="G126" i="23"/>
  <c r="G118" i="20"/>
  <c r="D119" i="20"/>
  <c r="E119" i="20" s="1"/>
  <c r="G40" i="24" l="1"/>
  <c r="I40" i="24" s="1"/>
  <c r="D41" i="24"/>
  <c r="E41" i="24"/>
  <c r="I118" i="13"/>
  <c r="J118" i="13" s="1"/>
  <c r="D119" i="13"/>
  <c r="J121" i="27"/>
  <c r="J123" i="18"/>
  <c r="J116" i="37"/>
  <c r="J117" i="13"/>
  <c r="G43" i="4"/>
  <c r="I43" i="4" s="1"/>
  <c r="H39" i="22"/>
  <c r="I39" i="22" s="1"/>
  <c r="I39" i="27"/>
  <c r="J124" i="4"/>
  <c r="D41" i="21"/>
  <c r="E41" i="21"/>
  <c r="B36" i="35"/>
  <c r="F36" i="35"/>
  <c r="G36" i="35" s="1"/>
  <c r="D43" i="18"/>
  <c r="E43" i="18"/>
  <c r="D45" i="3"/>
  <c r="E45" i="3"/>
  <c r="D43" i="19"/>
  <c r="E43" i="19"/>
  <c r="H44" i="3"/>
  <c r="B38" i="25"/>
  <c r="F38" i="25"/>
  <c r="G38" i="25" s="1"/>
  <c r="F36" i="34"/>
  <c r="H36" i="34" s="1"/>
  <c r="B36" i="34"/>
  <c r="G44" i="3"/>
  <c r="E53" i="20"/>
  <c r="F53" i="20" s="1"/>
  <c r="G52" i="20"/>
  <c r="H52" i="20"/>
  <c r="B53" i="20"/>
  <c r="F40" i="27"/>
  <c r="H40" i="27" s="1"/>
  <c r="B40" i="27"/>
  <c r="B35" i="37"/>
  <c r="F35" i="37"/>
  <c r="H35" i="37" s="1"/>
  <c r="F40" i="23"/>
  <c r="B40" i="23"/>
  <c r="F36" i="31"/>
  <c r="H36" i="31" s="1"/>
  <c r="B36" i="31"/>
  <c r="F37" i="29"/>
  <c r="H37" i="29" s="1"/>
  <c r="D40" i="22"/>
  <c r="E40" i="22"/>
  <c r="I51" i="20"/>
  <c r="I37" i="13"/>
  <c r="F39" i="26"/>
  <c r="H39" i="26" s="1"/>
  <c r="B39" i="26"/>
  <c r="H40" i="21"/>
  <c r="I35" i="31"/>
  <c r="F40" i="28"/>
  <c r="B40" i="28"/>
  <c r="G42" i="18"/>
  <c r="H42" i="19"/>
  <c r="I42" i="19" s="1"/>
  <c r="G40" i="21"/>
  <c r="I38" i="26"/>
  <c r="F34" i="38"/>
  <c r="G34" i="38" s="1"/>
  <c r="B34" i="38"/>
  <c r="H42" i="18"/>
  <c r="F38" i="13"/>
  <c r="H38" i="13" s="1"/>
  <c r="B38" i="13"/>
  <c r="D44" i="4"/>
  <c r="E44" i="4"/>
  <c r="G124" i="18"/>
  <c r="D125" i="18"/>
  <c r="B125" i="18" s="1"/>
  <c r="G125" i="4"/>
  <c r="D126" i="4"/>
  <c r="J117" i="35"/>
  <c r="D118" i="37"/>
  <c r="G117" i="37"/>
  <c r="G121" i="26"/>
  <c r="D122" i="26"/>
  <c r="E119" i="31"/>
  <c r="F119" i="31" s="1"/>
  <c r="B119" i="31"/>
  <c r="I118" i="31"/>
  <c r="H118" i="31"/>
  <c r="E123" i="28"/>
  <c r="F123" i="28" s="1"/>
  <c r="B123" i="28"/>
  <c r="G118" i="35"/>
  <c r="D119" i="35"/>
  <c r="E119" i="35" s="1"/>
  <c r="H122" i="28"/>
  <c r="I122" i="28"/>
  <c r="H120" i="25"/>
  <c r="I120" i="25"/>
  <c r="J117" i="38"/>
  <c r="J120" i="26"/>
  <c r="B121" i="25"/>
  <c r="F121" i="25"/>
  <c r="J121" i="21"/>
  <c r="J121" i="24"/>
  <c r="D119" i="38"/>
  <c r="E119" i="38" s="1"/>
  <c r="G118" i="38"/>
  <c r="B125" i="19"/>
  <c r="G122" i="24"/>
  <c r="D123" i="24"/>
  <c r="J117" i="34"/>
  <c r="D119" i="34"/>
  <c r="E119" i="34" s="1"/>
  <c r="G118" i="34"/>
  <c r="H124" i="19"/>
  <c r="I124" i="19"/>
  <c r="E125" i="19"/>
  <c r="F125" i="19" s="1"/>
  <c r="H123" i="29"/>
  <c r="I123" i="29"/>
  <c r="G122" i="27"/>
  <c r="D123" i="27"/>
  <c r="G122" i="21"/>
  <c r="D123" i="21"/>
  <c r="E123" i="21" s="1"/>
  <c r="E124" i="29"/>
  <c r="F124" i="29" s="1"/>
  <c r="H125" i="3"/>
  <c r="I125" i="3"/>
  <c r="I121" i="22"/>
  <c r="H121" i="22"/>
  <c r="B126" i="3"/>
  <c r="F126" i="3"/>
  <c r="B122" i="22"/>
  <c r="B119" i="20"/>
  <c r="F119" i="20"/>
  <c r="H118" i="20"/>
  <c r="I118" i="20"/>
  <c r="H126" i="23"/>
  <c r="I126" i="23"/>
  <c r="E127" i="23"/>
  <c r="F127" i="23" s="1"/>
  <c r="E122" i="22"/>
  <c r="F122" i="22" s="1"/>
  <c r="H36" i="35" l="1"/>
  <c r="I42" i="18"/>
  <c r="F41" i="24"/>
  <c r="B41" i="24"/>
  <c r="H41" i="24"/>
  <c r="E119" i="13"/>
  <c r="F119" i="13" s="1"/>
  <c r="B119" i="13"/>
  <c r="G37" i="29"/>
  <c r="I37" i="29" s="1"/>
  <c r="G36" i="34"/>
  <c r="I36" i="34" s="1"/>
  <c r="J118" i="31"/>
  <c r="J124" i="19"/>
  <c r="G39" i="26"/>
  <c r="I39" i="26" s="1"/>
  <c r="H34" i="38"/>
  <c r="I34" i="38" s="1"/>
  <c r="G35" i="37"/>
  <c r="I35" i="37" s="1"/>
  <c r="J126" i="23"/>
  <c r="G40" i="27"/>
  <c r="I40" i="27" s="1"/>
  <c r="D39" i="13"/>
  <c r="D41" i="28"/>
  <c r="E41" i="28" s="1"/>
  <c r="D37" i="31"/>
  <c r="E37" i="31"/>
  <c r="B54" i="20"/>
  <c r="G53" i="20"/>
  <c r="H53" i="20"/>
  <c r="E54" i="20"/>
  <c r="F54" i="20" s="1"/>
  <c r="D39" i="25"/>
  <c r="E39" i="25"/>
  <c r="B43" i="18"/>
  <c r="F43" i="18"/>
  <c r="H43" i="18" s="1"/>
  <c r="I40" i="21"/>
  <c r="B40" i="22"/>
  <c r="F40" i="22"/>
  <c r="D41" i="23"/>
  <c r="E41" i="23"/>
  <c r="I44" i="3"/>
  <c r="I36" i="35"/>
  <c r="G40" i="23"/>
  <c r="D37" i="35"/>
  <c r="E37" i="35"/>
  <c r="B44" i="4"/>
  <c r="F44" i="4"/>
  <c r="H44" i="4" s="1"/>
  <c r="D38" i="29"/>
  <c r="E38" i="29"/>
  <c r="H40" i="23"/>
  <c r="D41" i="27"/>
  <c r="E41" i="27"/>
  <c r="F43" i="19"/>
  <c r="H43" i="19" s="1"/>
  <c r="B43" i="19"/>
  <c r="G38" i="13"/>
  <c r="I38" i="13" s="1"/>
  <c r="D35" i="38"/>
  <c r="E35" i="38"/>
  <c r="H40" i="28"/>
  <c r="D40" i="26"/>
  <c r="E40" i="26"/>
  <c r="D36" i="37"/>
  <c r="E36" i="37"/>
  <c r="D37" i="34"/>
  <c r="E37" i="34"/>
  <c r="G40" i="28"/>
  <c r="G36" i="31"/>
  <c r="I36" i="31" s="1"/>
  <c r="I52" i="20"/>
  <c r="H38" i="25"/>
  <c r="I38" i="25" s="1"/>
  <c r="F45" i="3"/>
  <c r="H45" i="3" s="1"/>
  <c r="B45" i="3"/>
  <c r="F41" i="21"/>
  <c r="G41" i="21" s="1"/>
  <c r="B41" i="21"/>
  <c r="J123" i="29"/>
  <c r="E126" i="4"/>
  <c r="F126" i="4" s="1"/>
  <c r="B126" i="4"/>
  <c r="I125" i="4"/>
  <c r="H125" i="4"/>
  <c r="E125" i="18"/>
  <c r="F125" i="18" s="1"/>
  <c r="J120" i="25"/>
  <c r="I124" i="18"/>
  <c r="H124" i="18"/>
  <c r="J122" i="28"/>
  <c r="D122" i="25"/>
  <c r="E122" i="25" s="1"/>
  <c r="G121" i="25"/>
  <c r="F119" i="35"/>
  <c r="B119" i="35"/>
  <c r="G119" i="31"/>
  <c r="D120" i="31"/>
  <c r="B120" i="31" s="1"/>
  <c r="H118" i="35"/>
  <c r="I118" i="35"/>
  <c r="E122" i="26"/>
  <c r="F122" i="26" s="1"/>
  <c r="B122" i="26"/>
  <c r="D124" i="28"/>
  <c r="E124" i="28" s="1"/>
  <c r="G123" i="28"/>
  <c r="H121" i="26"/>
  <c r="I121" i="26"/>
  <c r="H117" i="37"/>
  <c r="I117" i="37"/>
  <c r="E118" i="37"/>
  <c r="F118" i="37" s="1"/>
  <c r="B118" i="37"/>
  <c r="H122" i="27"/>
  <c r="I122" i="27"/>
  <c r="I122" i="24"/>
  <c r="H122" i="24"/>
  <c r="G124" i="29"/>
  <c r="D125" i="29"/>
  <c r="D126" i="19"/>
  <c r="E126" i="19" s="1"/>
  <c r="G125" i="19"/>
  <c r="F119" i="38"/>
  <c r="B119" i="38"/>
  <c r="B123" i="27"/>
  <c r="H118" i="38"/>
  <c r="I118" i="38"/>
  <c r="I118" i="34"/>
  <c r="H118" i="34"/>
  <c r="F119" i="34"/>
  <c r="B119" i="34"/>
  <c r="H122" i="21"/>
  <c r="I122" i="21"/>
  <c r="B123" i="24"/>
  <c r="J118" i="20"/>
  <c r="J125" i="3"/>
  <c r="B123" i="21"/>
  <c r="F123" i="21"/>
  <c r="E123" i="27"/>
  <c r="F123" i="27" s="1"/>
  <c r="E123" i="24"/>
  <c r="F123" i="24" s="1"/>
  <c r="G122" i="22"/>
  <c r="D123" i="22"/>
  <c r="D128" i="23"/>
  <c r="G127" i="23"/>
  <c r="D120" i="20"/>
  <c r="E120" i="20" s="1"/>
  <c r="G119" i="20"/>
  <c r="D127" i="3"/>
  <c r="E127" i="3" s="1"/>
  <c r="G126" i="3"/>
  <c r="J121" i="22"/>
  <c r="I53" i="20" l="1"/>
  <c r="G41" i="24"/>
  <c r="I41" i="24" s="1"/>
  <c r="E42" i="24"/>
  <c r="D42" i="24"/>
  <c r="D120" i="13"/>
  <c r="G119" i="13"/>
  <c r="J118" i="35"/>
  <c r="H41" i="21"/>
  <c r="I41" i="21" s="1"/>
  <c r="I40" i="23"/>
  <c r="G45" i="3"/>
  <c r="I45" i="3" s="1"/>
  <c r="G43" i="18"/>
  <c r="I43" i="18" s="1"/>
  <c r="F41" i="27"/>
  <c r="G41" i="27" s="1"/>
  <c r="B41" i="27"/>
  <c r="F41" i="23"/>
  <c r="B41" i="23"/>
  <c r="B35" i="38"/>
  <c r="F35" i="38"/>
  <c r="G35" i="38" s="1"/>
  <c r="D41" i="22"/>
  <c r="E41" i="22"/>
  <c r="B37" i="31"/>
  <c r="F37" i="31"/>
  <c r="H37" i="31" s="1"/>
  <c r="B37" i="34"/>
  <c r="F37" i="34"/>
  <c r="G37" i="34" s="1"/>
  <c r="F37" i="35"/>
  <c r="G37" i="35" s="1"/>
  <c r="B37" i="35"/>
  <c r="F38" i="29"/>
  <c r="G38" i="29" s="1"/>
  <c r="G40" i="22"/>
  <c r="B39" i="25"/>
  <c r="F39" i="25"/>
  <c r="D42" i="21"/>
  <c r="E42" i="21"/>
  <c r="B36" i="37"/>
  <c r="F36" i="37"/>
  <c r="H36" i="37" s="1"/>
  <c r="H40" i="22"/>
  <c r="B55" i="20"/>
  <c r="G54" i="20"/>
  <c r="E55" i="20"/>
  <c r="F55" i="20" s="1"/>
  <c r="H54" i="20"/>
  <c r="B41" i="28"/>
  <c r="F41" i="28"/>
  <c r="D44" i="19"/>
  <c r="E44" i="19"/>
  <c r="D45" i="4"/>
  <c r="E45" i="4"/>
  <c r="B39" i="13"/>
  <c r="J121" i="26"/>
  <c r="F40" i="26"/>
  <c r="G40" i="26" s="1"/>
  <c r="B40" i="26"/>
  <c r="G43" i="19"/>
  <c r="I43" i="19" s="1"/>
  <c r="G44" i="4"/>
  <c r="I44" i="4" s="1"/>
  <c r="E39" i="13"/>
  <c r="F39" i="13" s="1"/>
  <c r="J122" i="27"/>
  <c r="D46" i="3"/>
  <c r="E46" i="3"/>
  <c r="I40" i="28"/>
  <c r="D44" i="18"/>
  <c r="E44" i="18"/>
  <c r="D126" i="18"/>
  <c r="E126" i="18" s="1"/>
  <c r="G125" i="18"/>
  <c r="J118" i="38"/>
  <c r="J117" i="37"/>
  <c r="J125" i="4"/>
  <c r="G126" i="4"/>
  <c r="D127" i="4"/>
  <c r="B127" i="4" s="1"/>
  <c r="J124" i="18"/>
  <c r="G118" i="37"/>
  <c r="D119" i="37"/>
  <c r="E119" i="37" s="1"/>
  <c r="I123" i="28"/>
  <c r="H123" i="28"/>
  <c r="H119" i="31"/>
  <c r="I119" i="31"/>
  <c r="F124" i="28"/>
  <c r="B124" i="28"/>
  <c r="E120" i="31"/>
  <c r="F120" i="31" s="1"/>
  <c r="G122" i="26"/>
  <c r="D123" i="26"/>
  <c r="B123" i="26" s="1"/>
  <c r="D120" i="35"/>
  <c r="B120" i="35" s="1"/>
  <c r="G119" i="35"/>
  <c r="I121" i="25"/>
  <c r="H121" i="25"/>
  <c r="B122" i="25"/>
  <c r="F122" i="25"/>
  <c r="J122" i="21"/>
  <c r="D124" i="24"/>
  <c r="E124" i="24" s="1"/>
  <c r="G123" i="24"/>
  <c r="G123" i="27"/>
  <c r="D124" i="27"/>
  <c r="E124" i="27" s="1"/>
  <c r="I124" i="29"/>
  <c r="H124" i="29"/>
  <c r="D120" i="38"/>
  <c r="G119" i="38"/>
  <c r="H125" i="19"/>
  <c r="I125" i="19"/>
  <c r="J122" i="24"/>
  <c r="J118" i="34"/>
  <c r="F126" i="19"/>
  <c r="B126" i="19"/>
  <c r="D124" i="21"/>
  <c r="E124" i="21" s="1"/>
  <c r="G123" i="21"/>
  <c r="D120" i="34"/>
  <c r="E120" i="34" s="1"/>
  <c r="G119" i="34"/>
  <c r="E125" i="29"/>
  <c r="F125" i="29" s="1"/>
  <c r="H119" i="20"/>
  <c r="I119" i="20"/>
  <c r="B123" i="22"/>
  <c r="F120" i="20"/>
  <c r="B120" i="20"/>
  <c r="H126" i="3"/>
  <c r="I126" i="3"/>
  <c r="I122" i="22"/>
  <c r="H122" i="22"/>
  <c r="E128" i="23"/>
  <c r="F128" i="23" s="1"/>
  <c r="B127" i="3"/>
  <c r="F127" i="3"/>
  <c r="I127" i="23"/>
  <c r="H127" i="23"/>
  <c r="E123" i="22"/>
  <c r="F123" i="22" s="1"/>
  <c r="I40" i="22" l="1"/>
  <c r="F42" i="24"/>
  <c r="G42" i="24" s="1"/>
  <c r="B42" i="24"/>
  <c r="H119" i="13"/>
  <c r="I119" i="13"/>
  <c r="E120" i="13"/>
  <c r="F120" i="13" s="1"/>
  <c r="B120" i="13"/>
  <c r="H37" i="35"/>
  <c r="I37" i="35" s="1"/>
  <c r="H40" i="26"/>
  <c r="I40" i="26" s="1"/>
  <c r="H41" i="27"/>
  <c r="I41" i="27" s="1"/>
  <c r="D40" i="13"/>
  <c r="E40" i="13" s="1"/>
  <c r="G39" i="13"/>
  <c r="H39" i="13"/>
  <c r="B56" i="20"/>
  <c r="G55" i="20"/>
  <c r="E56" i="20"/>
  <c r="F56" i="20" s="1"/>
  <c r="H55" i="20"/>
  <c r="H38" i="29"/>
  <c r="I38" i="29" s="1"/>
  <c r="F41" i="22"/>
  <c r="G41" i="22" s="1"/>
  <c r="B41" i="22"/>
  <c r="D42" i="23"/>
  <c r="E42" i="23"/>
  <c r="F44" i="19"/>
  <c r="H44" i="19" s="1"/>
  <c r="B44" i="19"/>
  <c r="D38" i="34"/>
  <c r="E38" i="34"/>
  <c r="B42" i="21"/>
  <c r="F42" i="21"/>
  <c r="G42" i="21" s="1"/>
  <c r="D36" i="38"/>
  <c r="E36" i="38"/>
  <c r="D39" i="29"/>
  <c r="E39" i="29"/>
  <c r="B44" i="18"/>
  <c r="F44" i="18"/>
  <c r="H44" i="18" s="1"/>
  <c r="D42" i="28"/>
  <c r="E42" i="28" s="1"/>
  <c r="D40" i="25"/>
  <c r="E40" i="25"/>
  <c r="H39" i="25"/>
  <c r="D38" i="31"/>
  <c r="E38" i="31"/>
  <c r="H35" i="38"/>
  <c r="I35" i="38" s="1"/>
  <c r="H41" i="28"/>
  <c r="D37" i="37"/>
  <c r="E37" i="37"/>
  <c r="G37" i="31"/>
  <c r="I37" i="31" s="1"/>
  <c r="G41" i="23"/>
  <c r="D42" i="27"/>
  <c r="E42" i="27"/>
  <c r="J119" i="20"/>
  <c r="D41" i="26"/>
  <c r="E41" i="26"/>
  <c r="G41" i="28"/>
  <c r="G36" i="37"/>
  <c r="I36" i="37" s="1"/>
  <c r="G39" i="25"/>
  <c r="D38" i="35"/>
  <c r="E38" i="35"/>
  <c r="H41" i="23"/>
  <c r="F46" i="3"/>
  <c r="H46" i="3" s="1"/>
  <c r="B46" i="3"/>
  <c r="F45" i="4"/>
  <c r="G45" i="4" s="1"/>
  <c r="B45" i="4"/>
  <c r="I54" i="20"/>
  <c r="H37" i="34"/>
  <c r="I37" i="34" s="1"/>
  <c r="E123" i="26"/>
  <c r="F123" i="26" s="1"/>
  <c r="D124" i="26" s="1"/>
  <c r="I126" i="4"/>
  <c r="H126" i="4"/>
  <c r="E120" i="35"/>
  <c r="F120" i="35" s="1"/>
  <c r="D121" i="35" s="1"/>
  <c r="H125" i="18"/>
  <c r="I125" i="18"/>
  <c r="J119" i="31"/>
  <c r="E127" i="4"/>
  <c r="F127" i="4" s="1"/>
  <c r="B126" i="18"/>
  <c r="F126" i="18"/>
  <c r="D125" i="28"/>
  <c r="G124" i="28"/>
  <c r="H119" i="35"/>
  <c r="I119" i="35"/>
  <c r="G122" i="25"/>
  <c r="D123" i="25"/>
  <c r="J123" i="28"/>
  <c r="I122" i="26"/>
  <c r="H122" i="26"/>
  <c r="D121" i="31"/>
  <c r="E121" i="31" s="1"/>
  <c r="G120" i="31"/>
  <c r="B119" i="37"/>
  <c r="F119" i="37"/>
  <c r="J121" i="25"/>
  <c r="H118" i="37"/>
  <c r="I118" i="37"/>
  <c r="H119" i="34"/>
  <c r="I119" i="34"/>
  <c r="G125" i="29"/>
  <c r="D126" i="29"/>
  <c r="E126" i="29" s="1"/>
  <c r="B120" i="34"/>
  <c r="F120" i="34"/>
  <c r="J125" i="19"/>
  <c r="B124" i="27"/>
  <c r="F124" i="27"/>
  <c r="J122" i="22"/>
  <c r="H119" i="38"/>
  <c r="I119" i="38"/>
  <c r="I123" i="27"/>
  <c r="H123" i="27"/>
  <c r="G126" i="19"/>
  <c r="D127" i="19"/>
  <c r="E127" i="19" s="1"/>
  <c r="B120" i="38"/>
  <c r="J127" i="23"/>
  <c r="I123" i="21"/>
  <c r="H123" i="21"/>
  <c r="E120" i="38"/>
  <c r="F120" i="38" s="1"/>
  <c r="J124" i="29"/>
  <c r="I123" i="24"/>
  <c r="H123" i="24"/>
  <c r="J126" i="3"/>
  <c r="F124" i="21"/>
  <c r="B124" i="21"/>
  <c r="F124" i="24"/>
  <c r="B124" i="24"/>
  <c r="D129" i="23"/>
  <c r="E129" i="23" s="1"/>
  <c r="G128" i="23"/>
  <c r="G123" i="22"/>
  <c r="D124" i="22"/>
  <c r="E124" i="22" s="1"/>
  <c r="G127" i="3"/>
  <c r="D128" i="3"/>
  <c r="E128" i="3" s="1"/>
  <c r="G120" i="20"/>
  <c r="D121" i="20"/>
  <c r="J119" i="13" l="1"/>
  <c r="H42" i="24"/>
  <c r="I42" i="24" s="1"/>
  <c r="E43" i="24"/>
  <c r="D43" i="24"/>
  <c r="D121" i="13"/>
  <c r="G120" i="13"/>
  <c r="G120" i="35"/>
  <c r="H120" i="35" s="1"/>
  <c r="I55" i="20"/>
  <c r="I39" i="13"/>
  <c r="H41" i="22"/>
  <c r="I41" i="22" s="1"/>
  <c r="H45" i="4"/>
  <c r="I45" i="4" s="1"/>
  <c r="J125" i="18"/>
  <c r="G44" i="18"/>
  <c r="I44" i="18" s="1"/>
  <c r="H42" i="21"/>
  <c r="I42" i="21" s="1"/>
  <c r="G44" i="19"/>
  <c r="I44" i="19" s="1"/>
  <c r="I41" i="28"/>
  <c r="I41" i="23"/>
  <c r="D47" i="3"/>
  <c r="E47" i="3"/>
  <c r="B37" i="37"/>
  <c r="F37" i="37"/>
  <c r="G37" i="37" s="1"/>
  <c r="B41" i="26"/>
  <c r="F41" i="26"/>
  <c r="H41" i="26" s="1"/>
  <c r="F42" i="23"/>
  <c r="H42" i="23" s="1"/>
  <c r="B42" i="23"/>
  <c r="G56" i="20"/>
  <c r="B57" i="20"/>
  <c r="E57" i="20"/>
  <c r="F57" i="20" s="1"/>
  <c r="H56" i="20"/>
  <c r="J126" i="4"/>
  <c r="F40" i="25"/>
  <c r="G40" i="25" s="1"/>
  <c r="B40" i="25"/>
  <c r="F39" i="29"/>
  <c r="H39" i="29" s="1"/>
  <c r="B38" i="34"/>
  <c r="F38" i="34"/>
  <c r="H38" i="34" s="1"/>
  <c r="G123" i="26"/>
  <c r="I123" i="26" s="1"/>
  <c r="B38" i="35"/>
  <c r="F38" i="35"/>
  <c r="G38" i="35" s="1"/>
  <c r="B42" i="27"/>
  <c r="F42" i="27"/>
  <c r="D46" i="4"/>
  <c r="E46" i="4"/>
  <c r="F42" i="28"/>
  <c r="H42" i="28" s="1"/>
  <c r="B42" i="28"/>
  <c r="B36" i="38"/>
  <c r="F36" i="38"/>
  <c r="H36" i="38" s="1"/>
  <c r="D42" i="22"/>
  <c r="E42" i="22"/>
  <c r="G46" i="3"/>
  <c r="I46" i="3" s="1"/>
  <c r="B38" i="31"/>
  <c r="F38" i="31"/>
  <c r="G38" i="31" s="1"/>
  <c r="I39" i="25"/>
  <c r="D45" i="18"/>
  <c r="E45" i="18"/>
  <c r="D43" i="21"/>
  <c r="E43" i="21"/>
  <c r="D45" i="19"/>
  <c r="E45" i="19"/>
  <c r="B40" i="13"/>
  <c r="F40" i="13"/>
  <c r="G40" i="13" s="1"/>
  <c r="G127" i="4"/>
  <c r="D128" i="4"/>
  <c r="B128" i="4" s="1"/>
  <c r="E121" i="35"/>
  <c r="F121" i="35" s="1"/>
  <c r="J119" i="34"/>
  <c r="D127" i="18"/>
  <c r="E127" i="18" s="1"/>
  <c r="G126" i="18"/>
  <c r="J119" i="35"/>
  <c r="J122" i="26"/>
  <c r="H124" i="28"/>
  <c r="I124" i="28"/>
  <c r="D120" i="37"/>
  <c r="G119" i="37"/>
  <c r="B123" i="25"/>
  <c r="B125" i="28"/>
  <c r="I122" i="25"/>
  <c r="H122" i="25"/>
  <c r="E125" i="28"/>
  <c r="F125" i="28" s="1"/>
  <c r="I120" i="31"/>
  <c r="H120" i="31"/>
  <c r="E123" i="25"/>
  <c r="F123" i="25" s="1"/>
  <c r="B124" i="26"/>
  <c r="E124" i="26"/>
  <c r="F124" i="26" s="1"/>
  <c r="J118" i="37"/>
  <c r="F121" i="31"/>
  <c r="B121" i="31"/>
  <c r="B121" i="35"/>
  <c r="J123" i="21"/>
  <c r="J123" i="27"/>
  <c r="F126" i="29"/>
  <c r="I125" i="29"/>
  <c r="H125" i="29"/>
  <c r="H126" i="19"/>
  <c r="I126" i="19"/>
  <c r="D125" i="21"/>
  <c r="E125" i="21" s="1"/>
  <c r="G124" i="21"/>
  <c r="J119" i="38"/>
  <c r="G120" i="38"/>
  <c r="D121" i="38"/>
  <c r="D125" i="27"/>
  <c r="E125" i="27" s="1"/>
  <c r="G124" i="27"/>
  <c r="G120" i="34"/>
  <c r="D121" i="34"/>
  <c r="E121" i="34"/>
  <c r="J123" i="24"/>
  <c r="D125" i="24"/>
  <c r="E125" i="24" s="1"/>
  <c r="G124" i="24"/>
  <c r="B127" i="19"/>
  <c r="F127" i="19"/>
  <c r="I123" i="22"/>
  <c r="H123" i="22"/>
  <c r="F129" i="23"/>
  <c r="H128" i="23"/>
  <c r="I128" i="23"/>
  <c r="B121" i="20"/>
  <c r="I120" i="20"/>
  <c r="H120" i="20"/>
  <c r="H127" i="3"/>
  <c r="I127" i="3"/>
  <c r="E121" i="20"/>
  <c r="F121" i="20" s="1"/>
  <c r="B128" i="3"/>
  <c r="F128" i="3"/>
  <c r="B124" i="22"/>
  <c r="F124" i="22"/>
  <c r="B43" i="24" l="1"/>
  <c r="F43" i="24"/>
  <c r="H43" i="24" s="1"/>
  <c r="I120" i="35"/>
  <c r="J120" i="35" s="1"/>
  <c r="H120" i="13"/>
  <c r="I120" i="13"/>
  <c r="E121" i="13"/>
  <c r="F121" i="13" s="1"/>
  <c r="B121" i="13"/>
  <c r="G41" i="26"/>
  <c r="I41" i="26" s="1"/>
  <c r="H123" i="26"/>
  <c r="J123" i="26" s="1"/>
  <c r="G42" i="28"/>
  <c r="I42" i="28" s="1"/>
  <c r="G38" i="34"/>
  <c r="I38" i="34" s="1"/>
  <c r="G39" i="29"/>
  <c r="I39" i="29" s="1"/>
  <c r="H38" i="31"/>
  <c r="I38" i="31" s="1"/>
  <c r="G36" i="38"/>
  <c r="I36" i="38" s="1"/>
  <c r="H40" i="13"/>
  <c r="I40" i="13" s="1"/>
  <c r="G42" i="23"/>
  <c r="I42" i="23" s="1"/>
  <c r="D43" i="27"/>
  <c r="E43" i="27"/>
  <c r="B42" i="22"/>
  <c r="F42" i="22"/>
  <c r="H42" i="27"/>
  <c r="D41" i="25"/>
  <c r="E41" i="25"/>
  <c r="E128" i="4"/>
  <c r="F128" i="4" s="1"/>
  <c r="G128" i="4" s="1"/>
  <c r="F45" i="19"/>
  <c r="H45" i="19" s="1"/>
  <c r="B45" i="19"/>
  <c r="D43" i="28"/>
  <c r="E43" i="28" s="1"/>
  <c r="D39" i="34"/>
  <c r="E39" i="34"/>
  <c r="H40" i="25"/>
  <c r="I40" i="25" s="1"/>
  <c r="D38" i="37"/>
  <c r="E38" i="37"/>
  <c r="D39" i="35"/>
  <c r="E39" i="35"/>
  <c r="E43" i="23"/>
  <c r="D43" i="23"/>
  <c r="F43" i="21"/>
  <c r="B43" i="21"/>
  <c r="F46" i="4"/>
  <c r="H46" i="4" s="1"/>
  <c r="B46" i="4"/>
  <c r="H38" i="35"/>
  <c r="I38" i="35" s="1"/>
  <c r="I56" i="20"/>
  <c r="H37" i="37"/>
  <c r="I37" i="37" s="1"/>
  <c r="D39" i="31"/>
  <c r="E39" i="31"/>
  <c r="D37" i="38"/>
  <c r="E37" i="38"/>
  <c r="D40" i="29"/>
  <c r="E40" i="29"/>
  <c r="E58" i="20"/>
  <c r="F58" i="20" s="1"/>
  <c r="B58" i="20"/>
  <c r="H57" i="20"/>
  <c r="G57" i="20"/>
  <c r="D41" i="13"/>
  <c r="B45" i="18"/>
  <c r="F45" i="18"/>
  <c r="G45" i="18" s="1"/>
  <c r="G42" i="27"/>
  <c r="D42" i="26"/>
  <c r="E42" i="26"/>
  <c r="B47" i="3"/>
  <c r="F47" i="3"/>
  <c r="G47" i="3" s="1"/>
  <c r="B127" i="18"/>
  <c r="F127" i="18"/>
  <c r="J124" i="28"/>
  <c r="H126" i="18"/>
  <c r="I126" i="18"/>
  <c r="J126" i="19"/>
  <c r="H127" i="4"/>
  <c r="I127" i="4"/>
  <c r="D126" i="28"/>
  <c r="E126" i="28" s="1"/>
  <c r="G125" i="28"/>
  <c r="G123" i="25"/>
  <c r="D124" i="25"/>
  <c r="G121" i="31"/>
  <c r="D122" i="31"/>
  <c r="J120" i="31"/>
  <c r="I119" i="37"/>
  <c r="H119" i="37"/>
  <c r="E120" i="37"/>
  <c r="F120" i="37" s="1"/>
  <c r="B120" i="37"/>
  <c r="G121" i="35"/>
  <c r="D122" i="35"/>
  <c r="J122" i="25"/>
  <c r="J127" i="3"/>
  <c r="J128" i="23"/>
  <c r="G124" i="26"/>
  <c r="D125" i="26"/>
  <c r="H124" i="24"/>
  <c r="I124" i="24"/>
  <c r="F121" i="34"/>
  <c r="B121" i="34"/>
  <c r="H120" i="38"/>
  <c r="I120" i="38"/>
  <c r="B121" i="38"/>
  <c r="B125" i="24"/>
  <c r="F125" i="24"/>
  <c r="H120" i="34"/>
  <c r="I120" i="34"/>
  <c r="E121" i="38"/>
  <c r="F121" i="38" s="1"/>
  <c r="I124" i="21"/>
  <c r="H124" i="21"/>
  <c r="F125" i="21"/>
  <c r="B125" i="21"/>
  <c r="J125" i="29"/>
  <c r="D128" i="19"/>
  <c r="E128" i="19" s="1"/>
  <c r="G127" i="19"/>
  <c r="H124" i="27"/>
  <c r="I124" i="27"/>
  <c r="F125" i="27"/>
  <c r="B125" i="27"/>
  <c r="D127" i="29"/>
  <c r="E127" i="29" s="1"/>
  <c r="G126" i="29"/>
  <c r="D122" i="20"/>
  <c r="E122" i="20" s="1"/>
  <c r="G121" i="20"/>
  <c r="D125" i="22"/>
  <c r="E125" i="22" s="1"/>
  <c r="G124" i="22"/>
  <c r="D129" i="3"/>
  <c r="G128" i="3"/>
  <c r="D130" i="23"/>
  <c r="G129" i="23"/>
  <c r="J120" i="20"/>
  <c r="J123" i="22"/>
  <c r="G46" i="4" l="1"/>
  <c r="J120" i="13"/>
  <c r="G43" i="24"/>
  <c r="I43" i="24" s="1"/>
  <c r="D44" i="24"/>
  <c r="E44" i="24"/>
  <c r="H45" i="18"/>
  <c r="I45" i="18" s="1"/>
  <c r="G121" i="13"/>
  <c r="D122" i="13"/>
  <c r="D129" i="4"/>
  <c r="B129" i="4" s="1"/>
  <c r="J124" i="27"/>
  <c r="I57" i="20"/>
  <c r="H47" i="3"/>
  <c r="I47" i="3" s="1"/>
  <c r="G45" i="19"/>
  <c r="I45" i="19" s="1"/>
  <c r="D44" i="21"/>
  <c r="E44" i="21"/>
  <c r="B41" i="13"/>
  <c r="F40" i="29"/>
  <c r="G40" i="29" s="1"/>
  <c r="F43" i="23"/>
  <c r="H43" i="23" s="1"/>
  <c r="B43" i="23"/>
  <c r="F39" i="34"/>
  <c r="H39" i="34" s="1"/>
  <c r="B39" i="34"/>
  <c r="E41" i="13"/>
  <c r="F41" i="13" s="1"/>
  <c r="B41" i="25"/>
  <c r="F41" i="25"/>
  <c r="G41" i="25" s="1"/>
  <c r="B42" i="26"/>
  <c r="F42" i="26"/>
  <c r="F37" i="38"/>
  <c r="B37" i="38"/>
  <c r="I46" i="4"/>
  <c r="F43" i="28"/>
  <c r="G43" i="28" s="1"/>
  <c r="B43" i="28"/>
  <c r="I42" i="27"/>
  <c r="D47" i="4"/>
  <c r="E47" i="4"/>
  <c r="F39" i="35"/>
  <c r="B39" i="35"/>
  <c r="D43" i="22"/>
  <c r="E43" i="22"/>
  <c r="B39" i="31"/>
  <c r="F39" i="31"/>
  <c r="G39" i="31" s="1"/>
  <c r="G43" i="21"/>
  <c r="J126" i="18"/>
  <c r="D46" i="18"/>
  <c r="E46" i="18"/>
  <c r="H43" i="21"/>
  <c r="B38" i="37"/>
  <c r="F38" i="37"/>
  <c r="G38" i="37" s="1"/>
  <c r="H42" i="22"/>
  <c r="D48" i="3"/>
  <c r="E48" i="3"/>
  <c r="G58" i="20"/>
  <c r="H58" i="20"/>
  <c r="E59" i="20"/>
  <c r="F59" i="20" s="1"/>
  <c r="B59" i="20"/>
  <c r="D46" i="19"/>
  <c r="E46" i="19"/>
  <c r="G42" i="22"/>
  <c r="B43" i="27"/>
  <c r="F43" i="27"/>
  <c r="G43" i="27" s="1"/>
  <c r="E129" i="4"/>
  <c r="J120" i="34"/>
  <c r="J120" i="38"/>
  <c r="H128" i="4"/>
  <c r="I128" i="4"/>
  <c r="J127" i="4"/>
  <c r="G127" i="18"/>
  <c r="D128" i="18"/>
  <c r="J124" i="24"/>
  <c r="E122" i="35"/>
  <c r="F122" i="35" s="1"/>
  <c r="B122" i="35"/>
  <c r="E122" i="31"/>
  <c r="F122" i="31" s="1"/>
  <c r="B122" i="31"/>
  <c r="H121" i="35"/>
  <c r="I121" i="35"/>
  <c r="I121" i="31"/>
  <c r="H121" i="31"/>
  <c r="B124" i="25"/>
  <c r="E125" i="26"/>
  <c r="F125" i="26" s="1"/>
  <c r="B125" i="26"/>
  <c r="G120" i="37"/>
  <c r="D121" i="37"/>
  <c r="B121" i="37" s="1"/>
  <c r="I123" i="25"/>
  <c r="H123" i="25"/>
  <c r="I124" i="26"/>
  <c r="H124" i="26"/>
  <c r="E124" i="25"/>
  <c r="F124" i="25" s="1"/>
  <c r="J119" i="37"/>
  <c r="I125" i="28"/>
  <c r="H125" i="28"/>
  <c r="B126" i="28"/>
  <c r="F126" i="28"/>
  <c r="H127" i="19"/>
  <c r="I127" i="19"/>
  <c r="J124" i="21"/>
  <c r="B128" i="19"/>
  <c r="F128" i="19"/>
  <c r="G121" i="38"/>
  <c r="D122" i="38"/>
  <c r="E122" i="38" s="1"/>
  <c r="F127" i="29"/>
  <c r="D126" i="24"/>
  <c r="G125" i="24"/>
  <c r="G125" i="27"/>
  <c r="D126" i="27"/>
  <c r="E126" i="27" s="1"/>
  <c r="H126" i="29"/>
  <c r="I126" i="29"/>
  <c r="D126" i="21"/>
  <c r="G125" i="21"/>
  <c r="D122" i="34"/>
  <c r="E122" i="34" s="1"/>
  <c r="G121" i="34"/>
  <c r="H128" i="3"/>
  <c r="I128" i="3"/>
  <c r="B129" i="3"/>
  <c r="H124" i="22"/>
  <c r="I124" i="22"/>
  <c r="E129" i="3"/>
  <c r="F129" i="3" s="1"/>
  <c r="E130" i="23"/>
  <c r="F130" i="23" s="1"/>
  <c r="F125" i="22"/>
  <c r="B125" i="22"/>
  <c r="H121" i="20"/>
  <c r="I121" i="20"/>
  <c r="H129" i="23"/>
  <c r="I129" i="23"/>
  <c r="F122" i="20"/>
  <c r="B122" i="20"/>
  <c r="F44" i="24" l="1"/>
  <c r="G44" i="24" s="1"/>
  <c r="B44" i="24"/>
  <c r="F129" i="4"/>
  <c r="D130" i="4" s="1"/>
  <c r="E122" i="13"/>
  <c r="F122" i="13" s="1"/>
  <c r="B122" i="13"/>
  <c r="I121" i="13"/>
  <c r="H121" i="13"/>
  <c r="J127" i="19"/>
  <c r="J128" i="3"/>
  <c r="H43" i="28"/>
  <c r="I43" i="28" s="1"/>
  <c r="I58" i="20"/>
  <c r="G39" i="34"/>
  <c r="I39" i="34" s="1"/>
  <c r="H41" i="25"/>
  <c r="I41" i="25" s="1"/>
  <c r="G43" i="23"/>
  <c r="I43" i="23" s="1"/>
  <c r="D42" i="13"/>
  <c r="H41" i="13"/>
  <c r="G41" i="13"/>
  <c r="B48" i="3"/>
  <c r="F48" i="3"/>
  <c r="B46" i="18"/>
  <c r="F46" i="18"/>
  <c r="B43" i="22"/>
  <c r="F43" i="22"/>
  <c r="H43" i="22" s="1"/>
  <c r="I42" i="22"/>
  <c r="D38" i="38"/>
  <c r="E38" i="38"/>
  <c r="B46" i="19"/>
  <c r="F46" i="19"/>
  <c r="H46" i="19" s="1"/>
  <c r="D40" i="35"/>
  <c r="E40" i="35"/>
  <c r="D43" i="26"/>
  <c r="E43" i="26"/>
  <c r="D39" i="37"/>
  <c r="E39" i="37"/>
  <c r="G39" i="35"/>
  <c r="H42" i="26"/>
  <c r="E44" i="23"/>
  <c r="D44" i="23"/>
  <c r="H59" i="20"/>
  <c r="E60" i="20"/>
  <c r="F60" i="20" s="1"/>
  <c r="B60" i="20"/>
  <c r="G59" i="20"/>
  <c r="D40" i="31"/>
  <c r="E40" i="31"/>
  <c r="H39" i="35"/>
  <c r="D44" i="28"/>
  <c r="E44" i="28" s="1"/>
  <c r="J125" i="28"/>
  <c r="D44" i="27"/>
  <c r="E44" i="27"/>
  <c r="H38" i="37"/>
  <c r="I38" i="37" s="1"/>
  <c r="G42" i="26"/>
  <c r="D41" i="29"/>
  <c r="E41" i="29"/>
  <c r="J128" i="4"/>
  <c r="H43" i="27"/>
  <c r="I43" i="27" s="1"/>
  <c r="I43" i="21"/>
  <c r="H39" i="31"/>
  <c r="I39" i="31" s="1"/>
  <c r="B47" i="4"/>
  <c r="F47" i="4"/>
  <c r="G47" i="4" s="1"/>
  <c r="G37" i="38"/>
  <c r="D42" i="25"/>
  <c r="E42" i="25"/>
  <c r="H40" i="29"/>
  <c r="I40" i="29" s="1"/>
  <c r="H37" i="38"/>
  <c r="D40" i="34"/>
  <c r="E40" i="34"/>
  <c r="B44" i="21"/>
  <c r="F44" i="21"/>
  <c r="G44" i="21" s="1"/>
  <c r="I127" i="18"/>
  <c r="H127" i="18"/>
  <c r="J121" i="35"/>
  <c r="E128" i="18"/>
  <c r="F128" i="18" s="1"/>
  <c r="B128" i="18"/>
  <c r="G124" i="25"/>
  <c r="D125" i="25"/>
  <c r="J124" i="22"/>
  <c r="I120" i="37"/>
  <c r="H120" i="37"/>
  <c r="D123" i="31"/>
  <c r="G122" i="31"/>
  <c r="G125" i="26"/>
  <c r="D126" i="26"/>
  <c r="J124" i="26"/>
  <c r="D127" i="28"/>
  <c r="G126" i="28"/>
  <c r="J123" i="25"/>
  <c r="D123" i="35"/>
  <c r="E123" i="35" s="1"/>
  <c r="G122" i="35"/>
  <c r="E121" i="37"/>
  <c r="F121" i="37" s="1"/>
  <c r="J121" i="31"/>
  <c r="J129" i="23"/>
  <c r="I125" i="21"/>
  <c r="H125" i="21"/>
  <c r="B126" i="21"/>
  <c r="D129" i="19"/>
  <c r="E129" i="19" s="1"/>
  <c r="G128" i="19"/>
  <c r="B126" i="24"/>
  <c r="B126" i="27"/>
  <c r="F126" i="27"/>
  <c r="H121" i="38"/>
  <c r="I121" i="38"/>
  <c r="F122" i="38"/>
  <c r="B122" i="38"/>
  <c r="I125" i="27"/>
  <c r="H125" i="27"/>
  <c r="H121" i="34"/>
  <c r="I121" i="34"/>
  <c r="B122" i="34"/>
  <c r="F122" i="34"/>
  <c r="E126" i="24"/>
  <c r="F126" i="24" s="1"/>
  <c r="E126" i="21"/>
  <c r="F126" i="21" s="1"/>
  <c r="J126" i="29"/>
  <c r="H125" i="24"/>
  <c r="I125" i="24"/>
  <c r="D128" i="29"/>
  <c r="E128" i="29" s="1"/>
  <c r="G127" i="29"/>
  <c r="G130" i="23"/>
  <c r="D131" i="23"/>
  <c r="G129" i="3"/>
  <c r="D130" i="3"/>
  <c r="E130" i="3" s="1"/>
  <c r="G125" i="22"/>
  <c r="D126" i="22"/>
  <c r="E126" i="22" s="1"/>
  <c r="D123" i="20"/>
  <c r="G122" i="20"/>
  <c r="J121" i="20"/>
  <c r="G129" i="4" l="1"/>
  <c r="H44" i="24"/>
  <c r="I44" i="24"/>
  <c r="D45" i="24"/>
  <c r="E45" i="24"/>
  <c r="J121" i="13"/>
  <c r="D123" i="13"/>
  <c r="G122" i="13"/>
  <c r="J121" i="34"/>
  <c r="J121" i="38"/>
  <c r="H47" i="4"/>
  <c r="I47" i="4" s="1"/>
  <c r="D45" i="21"/>
  <c r="E45" i="21"/>
  <c r="B42" i="25"/>
  <c r="F42" i="25"/>
  <c r="I42" i="26"/>
  <c r="D44" i="22"/>
  <c r="E44" i="22"/>
  <c r="D49" i="3"/>
  <c r="E49" i="3"/>
  <c r="B40" i="31"/>
  <c r="F40" i="31"/>
  <c r="D47" i="19"/>
  <c r="E47" i="19"/>
  <c r="G43" i="22"/>
  <c r="I43" i="22" s="1"/>
  <c r="H48" i="3"/>
  <c r="B44" i="27"/>
  <c r="F44" i="27"/>
  <c r="H44" i="27" s="1"/>
  <c r="B39" i="37"/>
  <c r="F39" i="37"/>
  <c r="H39" i="37" s="1"/>
  <c r="G46" i="19"/>
  <c r="I46" i="19" s="1"/>
  <c r="G48" i="3"/>
  <c r="B40" i="34"/>
  <c r="F40" i="34"/>
  <c r="D48" i="4"/>
  <c r="E48" i="4"/>
  <c r="B61" i="20"/>
  <c r="H60" i="20"/>
  <c r="G60" i="20"/>
  <c r="E61" i="20"/>
  <c r="F61" i="20" s="1"/>
  <c r="D47" i="18"/>
  <c r="E47" i="18"/>
  <c r="I37" i="38"/>
  <c r="I59" i="20"/>
  <c r="F43" i="26"/>
  <c r="G43" i="26" s="1"/>
  <c r="B43" i="26"/>
  <c r="H46" i="18"/>
  <c r="I41" i="13"/>
  <c r="J127" i="18"/>
  <c r="F44" i="28"/>
  <c r="G44" i="28" s="1"/>
  <c r="B44" i="28"/>
  <c r="B44" i="23"/>
  <c r="F44" i="23"/>
  <c r="H44" i="23" s="1"/>
  <c r="F38" i="38"/>
  <c r="G38" i="38" s="1"/>
  <c r="B38" i="38"/>
  <c r="G46" i="18"/>
  <c r="B42" i="13"/>
  <c r="H44" i="21"/>
  <c r="I44" i="21" s="1"/>
  <c r="F41" i="29"/>
  <c r="H41" i="29" s="1"/>
  <c r="I39" i="35"/>
  <c r="F40" i="35"/>
  <c r="H40" i="35" s="1"/>
  <c r="B40" i="35"/>
  <c r="E42" i="13"/>
  <c r="F42" i="13" s="1"/>
  <c r="I129" i="4"/>
  <c r="H129" i="4"/>
  <c r="B130" i="4"/>
  <c r="G128" i="18"/>
  <c r="D129" i="18"/>
  <c r="E130" i="4"/>
  <c r="F130" i="4" s="1"/>
  <c r="I125" i="26"/>
  <c r="H125" i="26"/>
  <c r="B123" i="35"/>
  <c r="F123" i="35"/>
  <c r="I122" i="31"/>
  <c r="H122" i="31"/>
  <c r="E123" i="31"/>
  <c r="F123" i="31" s="1"/>
  <c r="B123" i="31"/>
  <c r="H126" i="28"/>
  <c r="I126" i="28"/>
  <c r="E127" i="28"/>
  <c r="F127" i="28" s="1"/>
  <c r="B127" i="28"/>
  <c r="J120" i="37"/>
  <c r="G121" i="37"/>
  <c r="D122" i="37"/>
  <c r="B122" i="37" s="1"/>
  <c r="B126" i="26"/>
  <c r="E125" i="25"/>
  <c r="F125" i="25" s="1"/>
  <c r="B125" i="25"/>
  <c r="H122" i="35"/>
  <c r="I122" i="35"/>
  <c r="E126" i="26"/>
  <c r="F126" i="26" s="1"/>
  <c r="H124" i="25"/>
  <c r="I124" i="25"/>
  <c r="D127" i="21"/>
  <c r="E127" i="21" s="1"/>
  <c r="G126" i="21"/>
  <c r="D127" i="24"/>
  <c r="E127" i="24" s="1"/>
  <c r="G126" i="24"/>
  <c r="J125" i="21"/>
  <c r="F129" i="19"/>
  <c r="B129" i="19"/>
  <c r="D127" i="27"/>
  <c r="E127" i="27" s="1"/>
  <c r="G126" i="27"/>
  <c r="H127" i="29"/>
  <c r="I127" i="29"/>
  <c r="J125" i="27"/>
  <c r="I128" i="19"/>
  <c r="H128" i="19"/>
  <c r="F128" i="29"/>
  <c r="J125" i="24"/>
  <c r="D123" i="34"/>
  <c r="E123" i="34" s="1"/>
  <c r="G122" i="34"/>
  <c r="G122" i="38"/>
  <c r="D123" i="38"/>
  <c r="E123" i="38" s="1"/>
  <c r="I122" i="20"/>
  <c r="H122" i="20"/>
  <c r="B123" i="20"/>
  <c r="H129" i="3"/>
  <c r="I129" i="3"/>
  <c r="B130" i="3"/>
  <c r="F130" i="3"/>
  <c r="B126" i="22"/>
  <c r="F126" i="22"/>
  <c r="H125" i="22"/>
  <c r="I125" i="22"/>
  <c r="H130" i="23"/>
  <c r="I130" i="23"/>
  <c r="E123" i="20"/>
  <c r="F123" i="20" s="1"/>
  <c r="E131" i="23"/>
  <c r="F131" i="23" s="1"/>
  <c r="J126" i="28" l="1"/>
  <c r="H44" i="28"/>
  <c r="B45" i="24"/>
  <c r="F45" i="24"/>
  <c r="G45" i="24" s="1"/>
  <c r="H122" i="13"/>
  <c r="I122" i="13"/>
  <c r="E123" i="13"/>
  <c r="F123" i="13" s="1"/>
  <c r="B123" i="13"/>
  <c r="G39" i="37"/>
  <c r="I39" i="37" s="1"/>
  <c r="G40" i="35"/>
  <c r="I40" i="35" s="1"/>
  <c r="H38" i="38"/>
  <c r="I38" i="38" s="1"/>
  <c r="H43" i="26"/>
  <c r="I43" i="26" s="1"/>
  <c r="I60" i="20"/>
  <c r="D43" i="13"/>
  <c r="G42" i="13"/>
  <c r="H42" i="13"/>
  <c r="E45" i="23"/>
  <c r="D45" i="23"/>
  <c r="D41" i="31"/>
  <c r="E41" i="31"/>
  <c r="F48" i="4"/>
  <c r="G48" i="4" s="1"/>
  <c r="B48" i="4"/>
  <c r="D43" i="25"/>
  <c r="E43" i="25"/>
  <c r="G44" i="23"/>
  <c r="I44" i="23" s="1"/>
  <c r="I46" i="18"/>
  <c r="D41" i="34"/>
  <c r="E41" i="34"/>
  <c r="D40" i="37"/>
  <c r="E40" i="37"/>
  <c r="H40" i="31"/>
  <c r="F47" i="18"/>
  <c r="G47" i="18" s="1"/>
  <c r="B47" i="18"/>
  <c r="G40" i="31"/>
  <c r="H42" i="25"/>
  <c r="D42" i="29"/>
  <c r="E42" i="29"/>
  <c r="I44" i="28"/>
  <c r="B62" i="20"/>
  <c r="G61" i="20"/>
  <c r="H61" i="20"/>
  <c r="E62" i="20"/>
  <c r="F62" i="20" s="1"/>
  <c r="H40" i="34"/>
  <c r="I48" i="3"/>
  <c r="G42" i="25"/>
  <c r="G41" i="29"/>
  <c r="I41" i="29" s="1"/>
  <c r="G40" i="34"/>
  <c r="D45" i="27"/>
  <c r="E45" i="27"/>
  <c r="B49" i="3"/>
  <c r="F49" i="3"/>
  <c r="E122" i="37"/>
  <c r="F122" i="37" s="1"/>
  <c r="D123" i="37" s="1"/>
  <c r="E123" i="37" s="1"/>
  <c r="D44" i="26"/>
  <c r="E44" i="26"/>
  <c r="F45" i="21"/>
  <c r="H45" i="21" s="1"/>
  <c r="B45" i="21"/>
  <c r="D41" i="35"/>
  <c r="E41" i="35"/>
  <c r="D39" i="38"/>
  <c r="E39" i="38"/>
  <c r="D45" i="28"/>
  <c r="E45" i="28" s="1"/>
  <c r="G44" i="27"/>
  <c r="I44" i="27" s="1"/>
  <c r="B47" i="19"/>
  <c r="F47" i="19"/>
  <c r="H47" i="19" s="1"/>
  <c r="B44" i="22"/>
  <c r="F44" i="22"/>
  <c r="D131" i="4"/>
  <c r="E131" i="4" s="1"/>
  <c r="G130" i="4"/>
  <c r="E129" i="18"/>
  <c r="F129" i="18" s="1"/>
  <c r="B129" i="18"/>
  <c r="H128" i="18"/>
  <c r="I128" i="18"/>
  <c r="J130" i="23"/>
  <c r="J124" i="25"/>
  <c r="J129" i="4"/>
  <c r="G123" i="31"/>
  <c r="D124" i="31"/>
  <c r="E124" i="31"/>
  <c r="J129" i="3"/>
  <c r="I121" i="37"/>
  <c r="H121" i="37"/>
  <c r="G125" i="25"/>
  <c r="D126" i="25"/>
  <c r="J122" i="31"/>
  <c r="D128" i="28"/>
  <c r="E128" i="28"/>
  <c r="G127" i="28"/>
  <c r="G123" i="35"/>
  <c r="D124" i="35"/>
  <c r="E124" i="35" s="1"/>
  <c r="G126" i="26"/>
  <c r="D127" i="26"/>
  <c r="B127" i="26" s="1"/>
  <c r="J125" i="26"/>
  <c r="J122" i="35"/>
  <c r="J125" i="22"/>
  <c r="I122" i="34"/>
  <c r="H122" i="34"/>
  <c r="J127" i="29"/>
  <c r="H126" i="27"/>
  <c r="I126" i="27"/>
  <c r="B127" i="27"/>
  <c r="F127" i="27"/>
  <c r="I126" i="24"/>
  <c r="H126" i="24"/>
  <c r="G129" i="19"/>
  <c r="D130" i="19"/>
  <c r="E130" i="19" s="1"/>
  <c r="B127" i="24"/>
  <c r="F127" i="24"/>
  <c r="B123" i="34"/>
  <c r="F123" i="34"/>
  <c r="F123" i="38"/>
  <c r="B123" i="38"/>
  <c r="H126" i="21"/>
  <c r="I126" i="21"/>
  <c r="G128" i="29"/>
  <c r="D129" i="29"/>
  <c r="E129" i="29" s="1"/>
  <c r="H122" i="38"/>
  <c r="I122" i="38"/>
  <c r="J128" i="19"/>
  <c r="B127" i="21"/>
  <c r="F127" i="21"/>
  <c r="G123" i="20"/>
  <c r="D124" i="20"/>
  <c r="E124" i="20" s="1"/>
  <c r="G126" i="22"/>
  <c r="D127" i="22"/>
  <c r="E127" i="22" s="1"/>
  <c r="D132" i="23"/>
  <c r="G131" i="23"/>
  <c r="D131" i="3"/>
  <c r="E131" i="3" s="1"/>
  <c r="G130" i="3"/>
  <c r="J122" i="20"/>
  <c r="G122" i="37" l="1"/>
  <c r="H47" i="18"/>
  <c r="H45" i="24"/>
  <c r="I45" i="24" s="1"/>
  <c r="D46" i="24"/>
  <c r="E46" i="24"/>
  <c r="J122" i="13"/>
  <c r="D124" i="13"/>
  <c r="G123" i="13"/>
  <c r="I42" i="13"/>
  <c r="I61" i="20"/>
  <c r="G45" i="21"/>
  <c r="I45" i="21" s="1"/>
  <c r="J128" i="18"/>
  <c r="I40" i="34"/>
  <c r="I47" i="18"/>
  <c r="I40" i="31"/>
  <c r="B43" i="25"/>
  <c r="F43" i="25"/>
  <c r="G43" i="25" s="1"/>
  <c r="D48" i="19"/>
  <c r="E48" i="19"/>
  <c r="F41" i="35"/>
  <c r="B41" i="35"/>
  <c r="D50" i="3"/>
  <c r="E50" i="3" s="1"/>
  <c r="B45" i="23"/>
  <c r="F45" i="23"/>
  <c r="G45" i="23" s="1"/>
  <c r="G49" i="3"/>
  <c r="B40" i="37"/>
  <c r="F40" i="37"/>
  <c r="H40" i="37" s="1"/>
  <c r="D45" i="22"/>
  <c r="E45" i="22"/>
  <c r="H49" i="3"/>
  <c r="F42" i="29"/>
  <c r="D49" i="4"/>
  <c r="E49" i="4"/>
  <c r="G44" i="22"/>
  <c r="G62" i="20"/>
  <c r="H62" i="20"/>
  <c r="B63" i="20"/>
  <c r="E63" i="20"/>
  <c r="F63" i="20" s="1"/>
  <c r="I42" i="25"/>
  <c r="B41" i="34"/>
  <c r="F41" i="34"/>
  <c r="H41" i="34" s="1"/>
  <c r="H48" i="4"/>
  <c r="I48" i="4" s="1"/>
  <c r="H44" i="22"/>
  <c r="F45" i="28"/>
  <c r="H45" i="28" s="1"/>
  <c r="B45" i="28"/>
  <c r="D46" i="21"/>
  <c r="E46" i="21"/>
  <c r="D48" i="18"/>
  <c r="E48" i="18"/>
  <c r="B43" i="13"/>
  <c r="F45" i="27"/>
  <c r="B45" i="27"/>
  <c r="E43" i="13"/>
  <c r="F43" i="13" s="1"/>
  <c r="E127" i="26"/>
  <c r="F127" i="26" s="1"/>
  <c r="G47" i="19"/>
  <c r="I47" i="19" s="1"/>
  <c r="B39" i="38"/>
  <c r="F39" i="38"/>
  <c r="H39" i="38" s="1"/>
  <c r="B44" i="26"/>
  <c r="F44" i="26"/>
  <c r="G44" i="26" s="1"/>
  <c r="B41" i="31"/>
  <c r="F41" i="31"/>
  <c r="G129" i="18"/>
  <c r="D130" i="18"/>
  <c r="B130" i="18" s="1"/>
  <c r="I130" i="4"/>
  <c r="H130" i="4"/>
  <c r="J122" i="38"/>
  <c r="F131" i="4"/>
  <c r="B131" i="4"/>
  <c r="I126" i="26"/>
  <c r="H126" i="26"/>
  <c r="E126" i="25"/>
  <c r="F126" i="25" s="1"/>
  <c r="B126" i="25"/>
  <c r="H125" i="25"/>
  <c r="I125" i="25"/>
  <c r="B124" i="35"/>
  <c r="F124" i="35"/>
  <c r="J126" i="21"/>
  <c r="H122" i="37"/>
  <c r="I122" i="37"/>
  <c r="H123" i="35"/>
  <c r="I123" i="35"/>
  <c r="J121" i="37"/>
  <c r="I127" i="28"/>
  <c r="H127" i="28"/>
  <c r="B123" i="37"/>
  <c r="F123" i="37"/>
  <c r="B128" i="28"/>
  <c r="F128" i="28"/>
  <c r="B124" i="31"/>
  <c r="F124" i="31"/>
  <c r="H123" i="31"/>
  <c r="I123" i="31"/>
  <c r="J126" i="27"/>
  <c r="D124" i="34"/>
  <c r="E124" i="34" s="1"/>
  <c r="G123" i="34"/>
  <c r="G127" i="24"/>
  <c r="D128" i="24"/>
  <c r="E128" i="24" s="1"/>
  <c r="D124" i="38"/>
  <c r="E124" i="38" s="1"/>
  <c r="G123" i="38"/>
  <c r="F129" i="29"/>
  <c r="J122" i="34"/>
  <c r="I128" i="29"/>
  <c r="H128" i="29"/>
  <c r="B130" i="19"/>
  <c r="F130" i="19"/>
  <c r="J126" i="24"/>
  <c r="I129" i="19"/>
  <c r="H129" i="19"/>
  <c r="D128" i="27"/>
  <c r="E128" i="27" s="1"/>
  <c r="G127" i="27"/>
  <c r="G127" i="21"/>
  <c r="D128" i="21"/>
  <c r="E128" i="21" s="1"/>
  <c r="H126" i="22"/>
  <c r="I126" i="22"/>
  <c r="H131" i="23"/>
  <c r="I131" i="23"/>
  <c r="B127" i="22"/>
  <c r="F127" i="22"/>
  <c r="B124" i="20"/>
  <c r="F124" i="20"/>
  <c r="H130" i="3"/>
  <c r="I130" i="3"/>
  <c r="B131" i="3"/>
  <c r="F131" i="3"/>
  <c r="E132" i="23"/>
  <c r="F132" i="23" s="1"/>
  <c r="H123" i="20"/>
  <c r="I123" i="20"/>
  <c r="B46" i="24" l="1"/>
  <c r="F46" i="24"/>
  <c r="H46" i="24" s="1"/>
  <c r="H123" i="13"/>
  <c r="I123" i="13"/>
  <c r="J123" i="13" s="1"/>
  <c r="E124" i="13"/>
  <c r="F124" i="13" s="1"/>
  <c r="B124" i="13"/>
  <c r="J130" i="4"/>
  <c r="G45" i="28"/>
  <c r="I45" i="28" s="1"/>
  <c r="G41" i="34"/>
  <c r="I41" i="34" s="1"/>
  <c r="G39" i="38"/>
  <c r="I39" i="38" s="1"/>
  <c r="I62" i="20"/>
  <c r="D44" i="13"/>
  <c r="E44" i="13" s="1"/>
  <c r="H43" i="13"/>
  <c r="G43" i="13"/>
  <c r="D46" i="27"/>
  <c r="E46" i="27"/>
  <c r="F46" i="21"/>
  <c r="G46" i="21" s="1"/>
  <c r="B46" i="21"/>
  <c r="D42" i="35"/>
  <c r="E42" i="35"/>
  <c r="E130" i="18"/>
  <c r="F130" i="18" s="1"/>
  <c r="G130" i="18" s="1"/>
  <c r="D45" i="26"/>
  <c r="E45" i="26"/>
  <c r="G127" i="26"/>
  <c r="D128" i="26"/>
  <c r="F45" i="22"/>
  <c r="H45" i="22" s="1"/>
  <c r="B45" i="22"/>
  <c r="D46" i="23"/>
  <c r="E46" i="23"/>
  <c r="B48" i="19"/>
  <c r="F48" i="19"/>
  <c r="G48" i="19" s="1"/>
  <c r="J123" i="31"/>
  <c r="H44" i="26"/>
  <c r="I44" i="26" s="1"/>
  <c r="D46" i="28"/>
  <c r="E46" i="28"/>
  <c r="B49" i="4"/>
  <c r="F49" i="4"/>
  <c r="D41" i="37"/>
  <c r="E41" i="37"/>
  <c r="D42" i="31"/>
  <c r="E42" i="31"/>
  <c r="G63" i="20"/>
  <c r="B64" i="20"/>
  <c r="H63" i="20"/>
  <c r="E64" i="20"/>
  <c r="F64" i="20" s="1"/>
  <c r="D43" i="29"/>
  <c r="E43" i="29"/>
  <c r="B50" i="3"/>
  <c r="F50" i="3"/>
  <c r="H50" i="3" s="1"/>
  <c r="D44" i="25"/>
  <c r="E44" i="25"/>
  <c r="J127" i="28"/>
  <c r="H41" i="31"/>
  <c r="G45" i="27"/>
  <c r="I44" i="22"/>
  <c r="G42" i="29"/>
  <c r="G40" i="37"/>
  <c r="I40" i="37" s="1"/>
  <c r="H41" i="35"/>
  <c r="H43" i="25"/>
  <c r="I43" i="25" s="1"/>
  <c r="D40" i="38"/>
  <c r="E40" i="38"/>
  <c r="H45" i="27"/>
  <c r="I45" i="27" s="1"/>
  <c r="B48" i="18"/>
  <c r="F48" i="18"/>
  <c r="H42" i="29"/>
  <c r="J130" i="3"/>
  <c r="J123" i="35"/>
  <c r="G41" i="31"/>
  <c r="D42" i="34"/>
  <c r="E42" i="34"/>
  <c r="I49" i="3"/>
  <c r="H45" i="23"/>
  <c r="I45" i="23" s="1"/>
  <c r="G41" i="35"/>
  <c r="J125" i="25"/>
  <c r="D132" i="4"/>
  <c r="G131" i="4"/>
  <c r="J122" i="37"/>
  <c r="I129" i="18"/>
  <c r="H129" i="18"/>
  <c r="G124" i="31"/>
  <c r="D125" i="31"/>
  <c r="G128" i="28"/>
  <c r="D129" i="28"/>
  <c r="E129" i="28" s="1"/>
  <c r="D127" i="25"/>
  <c r="E127" i="25" s="1"/>
  <c r="G126" i="25"/>
  <c r="G123" i="37"/>
  <c r="D124" i="37"/>
  <c r="D125" i="35"/>
  <c r="G124" i="35"/>
  <c r="J126" i="26"/>
  <c r="J129" i="19"/>
  <c r="J128" i="29"/>
  <c r="H123" i="34"/>
  <c r="I123" i="34"/>
  <c r="H123" i="38"/>
  <c r="I123" i="38"/>
  <c r="F124" i="34"/>
  <c r="B124" i="34"/>
  <c r="B124" i="38"/>
  <c r="F124" i="38"/>
  <c r="I127" i="27"/>
  <c r="H127" i="27"/>
  <c r="G129" i="29"/>
  <c r="D130" i="29"/>
  <c r="B128" i="21"/>
  <c r="F128" i="21"/>
  <c r="F128" i="27"/>
  <c r="B128" i="27"/>
  <c r="G130" i="19"/>
  <c r="D131" i="19"/>
  <c r="F128" i="24"/>
  <c r="B128" i="24"/>
  <c r="J131" i="23"/>
  <c r="H127" i="21"/>
  <c r="I127" i="21"/>
  <c r="I127" i="24"/>
  <c r="H127" i="24"/>
  <c r="G131" i="3"/>
  <c r="D132" i="3"/>
  <c r="J123" i="20"/>
  <c r="G132" i="23"/>
  <c r="D133" i="23"/>
  <c r="E133" i="23" s="1"/>
  <c r="D128" i="22"/>
  <c r="G127" i="22"/>
  <c r="D125" i="20"/>
  <c r="E125" i="20" s="1"/>
  <c r="G124" i="20"/>
  <c r="J126" i="22"/>
  <c r="G46" i="24" l="1"/>
  <c r="I46" i="24" s="1"/>
  <c r="E47" i="24"/>
  <c r="D47" i="24"/>
  <c r="D131" i="18"/>
  <c r="B131" i="18" s="1"/>
  <c r="G124" i="13"/>
  <c r="D125" i="13"/>
  <c r="B125" i="13" s="1"/>
  <c r="I41" i="35"/>
  <c r="G45" i="22"/>
  <c r="I45" i="22" s="1"/>
  <c r="I63" i="20"/>
  <c r="D49" i="18"/>
  <c r="E49" i="18"/>
  <c r="B44" i="25"/>
  <c r="F44" i="25"/>
  <c r="G44" i="25" s="1"/>
  <c r="B42" i="31"/>
  <c r="F42" i="31"/>
  <c r="F46" i="28"/>
  <c r="G46" i="28" s="1"/>
  <c r="H46" i="28"/>
  <c r="B46" i="28"/>
  <c r="I127" i="26"/>
  <c r="H127" i="26"/>
  <c r="H48" i="18"/>
  <c r="D47" i="21"/>
  <c r="E47" i="21"/>
  <c r="D51" i="3"/>
  <c r="E51" i="3"/>
  <c r="F41" i="37"/>
  <c r="G41" i="37" s="1"/>
  <c r="B41" i="37"/>
  <c r="F46" i="23"/>
  <c r="G46" i="23" s="1"/>
  <c r="B46" i="23"/>
  <c r="B45" i="26"/>
  <c r="F45" i="26"/>
  <c r="H45" i="26" s="1"/>
  <c r="F42" i="34"/>
  <c r="H42" i="34" s="1"/>
  <c r="B42" i="34"/>
  <c r="G48" i="18"/>
  <c r="G50" i="3"/>
  <c r="I50" i="3" s="1"/>
  <c r="D50" i="4"/>
  <c r="E50" i="4"/>
  <c r="B46" i="27"/>
  <c r="F46" i="27"/>
  <c r="D49" i="19"/>
  <c r="E49" i="19"/>
  <c r="I41" i="31"/>
  <c r="G49" i="4"/>
  <c r="H48" i="19"/>
  <c r="I48" i="19" s="1"/>
  <c r="B42" i="35"/>
  <c r="F42" i="35"/>
  <c r="G42" i="35" s="1"/>
  <c r="I43" i="13"/>
  <c r="F40" i="38"/>
  <c r="H40" i="38" s="1"/>
  <c r="B40" i="38"/>
  <c r="F43" i="29"/>
  <c r="H43" i="29" s="1"/>
  <c r="H49" i="4"/>
  <c r="D46" i="22"/>
  <c r="E46" i="22"/>
  <c r="H46" i="21"/>
  <c r="I46" i="21" s="1"/>
  <c r="I42" i="29"/>
  <c r="E65" i="20"/>
  <c r="F65" i="20" s="1"/>
  <c r="B65" i="20"/>
  <c r="G64" i="20"/>
  <c r="H64" i="20"/>
  <c r="B128" i="26"/>
  <c r="E128" i="26"/>
  <c r="F128" i="26" s="1"/>
  <c r="B44" i="13"/>
  <c r="F44" i="13"/>
  <c r="G44" i="13" s="1"/>
  <c r="H130" i="18"/>
  <c r="I130" i="18"/>
  <c r="E131" i="18"/>
  <c r="J129" i="18"/>
  <c r="J127" i="21"/>
  <c r="H131" i="4"/>
  <c r="I131" i="4"/>
  <c r="E132" i="4"/>
  <c r="F132" i="4" s="1"/>
  <c r="B132" i="4"/>
  <c r="I126" i="25"/>
  <c r="H126" i="25"/>
  <c r="B127" i="25"/>
  <c r="F127" i="25"/>
  <c r="I124" i="35"/>
  <c r="H124" i="35"/>
  <c r="F129" i="28"/>
  <c r="B129" i="28"/>
  <c r="E125" i="35"/>
  <c r="F125" i="35" s="1"/>
  <c r="B125" i="35"/>
  <c r="I128" i="28"/>
  <c r="H128" i="28"/>
  <c r="E124" i="37"/>
  <c r="F124" i="37" s="1"/>
  <c r="B124" i="37"/>
  <c r="E125" i="31"/>
  <c r="F125" i="31" s="1"/>
  <c r="B125" i="31"/>
  <c r="J123" i="38"/>
  <c r="H123" i="37"/>
  <c r="I123" i="37"/>
  <c r="I124" i="31"/>
  <c r="H124" i="31"/>
  <c r="J127" i="27"/>
  <c r="I129" i="29"/>
  <c r="H129" i="29"/>
  <c r="G128" i="21"/>
  <c r="D129" i="21"/>
  <c r="E129" i="21" s="1"/>
  <c r="G124" i="34"/>
  <c r="D125" i="34"/>
  <c r="E125" i="34" s="1"/>
  <c r="B131" i="19"/>
  <c r="H130" i="19"/>
  <c r="I130" i="19"/>
  <c r="J127" i="24"/>
  <c r="E131" i="19"/>
  <c r="F131" i="19" s="1"/>
  <c r="D125" i="38"/>
  <c r="E125" i="38" s="1"/>
  <c r="G124" i="38"/>
  <c r="J123" i="34"/>
  <c r="D129" i="24"/>
  <c r="E129" i="24" s="1"/>
  <c r="G128" i="24"/>
  <c r="G128" i="27"/>
  <c r="D129" i="27"/>
  <c r="E129" i="27" s="1"/>
  <c r="E130" i="29"/>
  <c r="F130" i="29" s="1"/>
  <c r="B128" i="22"/>
  <c r="F133" i="23"/>
  <c r="H124" i="20"/>
  <c r="I124" i="20"/>
  <c r="H132" i="23"/>
  <c r="I132" i="23"/>
  <c r="B132" i="3"/>
  <c r="I127" i="22"/>
  <c r="H127" i="22"/>
  <c r="E128" i="22"/>
  <c r="F128" i="22" s="1"/>
  <c r="H131" i="3"/>
  <c r="I131" i="3"/>
  <c r="F125" i="20"/>
  <c r="B125" i="20"/>
  <c r="E132" i="3"/>
  <c r="F132" i="3" s="1"/>
  <c r="F131" i="18" l="1"/>
  <c r="E125" i="13"/>
  <c r="F125" i="13" s="1"/>
  <c r="D126" i="13" s="1"/>
  <c r="E126" i="13" s="1"/>
  <c r="B47" i="24"/>
  <c r="F47" i="24"/>
  <c r="G47" i="24" s="1"/>
  <c r="G45" i="26"/>
  <c r="G125" i="13"/>
  <c r="H125" i="13" s="1"/>
  <c r="J131" i="3"/>
  <c r="H124" i="13"/>
  <c r="I124" i="13"/>
  <c r="J127" i="26"/>
  <c r="J132" i="23"/>
  <c r="H44" i="13"/>
  <c r="I44" i="13" s="1"/>
  <c r="I64" i="20"/>
  <c r="I49" i="4"/>
  <c r="G40" i="38"/>
  <c r="I40" i="38" s="1"/>
  <c r="G42" i="34"/>
  <c r="I42" i="34" s="1"/>
  <c r="H46" i="23"/>
  <c r="I46" i="23" s="1"/>
  <c r="J130" i="18"/>
  <c r="I45" i="26"/>
  <c r="H42" i="35"/>
  <c r="I42" i="35" s="1"/>
  <c r="G65" i="20"/>
  <c r="E66" i="20"/>
  <c r="F66" i="20" s="1"/>
  <c r="B66" i="20"/>
  <c r="H65" i="20"/>
  <c r="D43" i="31"/>
  <c r="E43" i="31"/>
  <c r="D44" i="29"/>
  <c r="E44" i="29"/>
  <c r="D42" i="37"/>
  <c r="E42" i="37"/>
  <c r="D47" i="27"/>
  <c r="E47" i="27"/>
  <c r="D129" i="26"/>
  <c r="G128" i="26"/>
  <c r="H46" i="27"/>
  <c r="B51" i="3"/>
  <c r="F51" i="3"/>
  <c r="H51" i="3" s="1"/>
  <c r="I46" i="28"/>
  <c r="D45" i="25"/>
  <c r="E45" i="25"/>
  <c r="F46" i="22"/>
  <c r="H46" i="22" s="1"/>
  <c r="B46" i="22"/>
  <c r="G46" i="27"/>
  <c r="H44" i="25"/>
  <c r="I44" i="25" s="1"/>
  <c r="D41" i="38"/>
  <c r="E41" i="38"/>
  <c r="D43" i="34"/>
  <c r="E43" i="34"/>
  <c r="D47" i="23"/>
  <c r="E47" i="23"/>
  <c r="B47" i="21"/>
  <c r="F47" i="21"/>
  <c r="G47" i="21" s="1"/>
  <c r="D47" i="28"/>
  <c r="E47" i="28" s="1"/>
  <c r="J123" i="37"/>
  <c r="G42" i="31"/>
  <c r="D45" i="13"/>
  <c r="E45" i="13" s="1"/>
  <c r="G43" i="29"/>
  <c r="I43" i="29" s="1"/>
  <c r="D43" i="35"/>
  <c r="E43" i="35"/>
  <c r="F49" i="19"/>
  <c r="H49" i="19" s="1"/>
  <c r="B49" i="19"/>
  <c r="F50" i="4"/>
  <c r="G50" i="4" s="1"/>
  <c r="B50" i="4"/>
  <c r="D46" i="26"/>
  <c r="E46" i="26"/>
  <c r="H41" i="37"/>
  <c r="I41" i="37" s="1"/>
  <c r="I48" i="18"/>
  <c r="H42" i="31"/>
  <c r="F49" i="18"/>
  <c r="H49" i="18" s="1"/>
  <c r="B49" i="18"/>
  <c r="D132" i="18"/>
  <c r="E132" i="18" s="1"/>
  <c r="G131" i="18"/>
  <c r="D133" i="4"/>
  <c r="G132" i="4"/>
  <c r="J130" i="19"/>
  <c r="J131" i="4"/>
  <c r="J124" i="31"/>
  <c r="G124" i="37"/>
  <c r="D125" i="37"/>
  <c r="D130" i="28"/>
  <c r="G129" i="28"/>
  <c r="J124" i="35"/>
  <c r="J128" i="28"/>
  <c r="G127" i="25"/>
  <c r="D128" i="25"/>
  <c r="B128" i="25" s="1"/>
  <c r="D126" i="35"/>
  <c r="E126" i="35" s="1"/>
  <c r="G125" i="35"/>
  <c r="G125" i="31"/>
  <c r="D126" i="31"/>
  <c r="J126" i="25"/>
  <c r="J124" i="20"/>
  <c r="D131" i="29"/>
  <c r="E131" i="29" s="1"/>
  <c r="G130" i="29"/>
  <c r="J129" i="29"/>
  <c r="F126" i="13"/>
  <c r="B126" i="13"/>
  <c r="F129" i="27"/>
  <c r="B129" i="27"/>
  <c r="H128" i="27"/>
  <c r="I128" i="27"/>
  <c r="I128" i="24"/>
  <c r="H128" i="24"/>
  <c r="H124" i="38"/>
  <c r="I124" i="38"/>
  <c r="I124" i="34"/>
  <c r="H124" i="34"/>
  <c r="B129" i="24"/>
  <c r="F129" i="24"/>
  <c r="B125" i="38"/>
  <c r="F125" i="38"/>
  <c r="B129" i="21"/>
  <c r="F129" i="21"/>
  <c r="D132" i="19"/>
  <c r="E132" i="19" s="1"/>
  <c r="G131" i="19"/>
  <c r="B125" i="34"/>
  <c r="F125" i="34"/>
  <c r="I128" i="21"/>
  <c r="H128" i="21"/>
  <c r="G128" i="22"/>
  <c r="D129" i="22"/>
  <c r="E129" i="22" s="1"/>
  <c r="D134" i="23"/>
  <c r="G133" i="23"/>
  <c r="J127" i="22"/>
  <c r="G125" i="20"/>
  <c r="D126" i="20"/>
  <c r="D133" i="3"/>
  <c r="E133" i="3" s="1"/>
  <c r="G132" i="3"/>
  <c r="I42" i="31" l="1"/>
  <c r="H47" i="24"/>
  <c r="I47" i="24" s="1"/>
  <c r="I125" i="13"/>
  <c r="J125" i="13" s="1"/>
  <c r="D48" i="24"/>
  <c r="E48" i="24"/>
  <c r="J124" i="13"/>
  <c r="J128" i="27"/>
  <c r="H50" i="4"/>
  <c r="I50" i="4" s="1"/>
  <c r="I65" i="20"/>
  <c r="G46" i="22"/>
  <c r="I46" i="22" s="1"/>
  <c r="I46" i="27"/>
  <c r="F47" i="23"/>
  <c r="H47" i="23" s="1"/>
  <c r="B47" i="23"/>
  <c r="B46" i="26"/>
  <c r="F46" i="26"/>
  <c r="D50" i="19"/>
  <c r="E50" i="19" s="1"/>
  <c r="B42" i="37"/>
  <c r="F42" i="37"/>
  <c r="G42" i="37" s="1"/>
  <c r="G49" i="18"/>
  <c r="I49" i="18" s="1"/>
  <c r="F47" i="28"/>
  <c r="G47" i="28" s="1"/>
  <c r="B47" i="28"/>
  <c r="B43" i="34"/>
  <c r="F43" i="34"/>
  <c r="H43" i="34" s="1"/>
  <c r="D47" i="22"/>
  <c r="E47" i="22"/>
  <c r="B43" i="35"/>
  <c r="F43" i="35"/>
  <c r="H43" i="35" s="1"/>
  <c r="D48" i="21"/>
  <c r="E48" i="21"/>
  <c r="H128" i="26"/>
  <c r="I128" i="26"/>
  <c r="F44" i="29"/>
  <c r="D50" i="18"/>
  <c r="E50" i="18" s="1"/>
  <c r="B41" i="38"/>
  <c r="F41" i="38"/>
  <c r="B45" i="25"/>
  <c r="F45" i="25"/>
  <c r="E129" i="26"/>
  <c r="F129" i="26" s="1"/>
  <c r="B129" i="26"/>
  <c r="D51" i="4"/>
  <c r="E51" i="4" s="1"/>
  <c r="H47" i="21"/>
  <c r="I47" i="21" s="1"/>
  <c r="G49" i="19"/>
  <c r="I49" i="19" s="1"/>
  <c r="F45" i="13"/>
  <c r="H45" i="13" s="1"/>
  <c r="B45" i="13"/>
  <c r="D52" i="3"/>
  <c r="E52" i="3"/>
  <c r="B43" i="31"/>
  <c r="F43" i="31"/>
  <c r="H43" i="31" s="1"/>
  <c r="G66" i="20"/>
  <c r="B67" i="20"/>
  <c r="E67" i="20"/>
  <c r="F67" i="20" s="1"/>
  <c r="H66" i="20"/>
  <c r="E128" i="25"/>
  <c r="F128" i="25" s="1"/>
  <c r="G128" i="25" s="1"/>
  <c r="G51" i="3"/>
  <c r="I51" i="3" s="1"/>
  <c r="B47" i="27"/>
  <c r="F47" i="27"/>
  <c r="H47" i="27" s="1"/>
  <c r="B133" i="4"/>
  <c r="E133" i="4"/>
  <c r="F133" i="4" s="1"/>
  <c r="H132" i="4"/>
  <c r="I132" i="4"/>
  <c r="H131" i="18"/>
  <c r="I131" i="18"/>
  <c r="F132" i="18"/>
  <c r="B132" i="18"/>
  <c r="I127" i="25"/>
  <c r="H127" i="25"/>
  <c r="E126" i="31"/>
  <c r="F126" i="31" s="1"/>
  <c r="B126" i="31"/>
  <c r="H125" i="31"/>
  <c r="I125" i="31"/>
  <c r="H125" i="35"/>
  <c r="I125" i="35"/>
  <c r="I129" i="28"/>
  <c r="H129" i="28"/>
  <c r="B130" i="28"/>
  <c r="E130" i="28"/>
  <c r="F130" i="28" s="1"/>
  <c r="B126" i="35"/>
  <c r="F126" i="35"/>
  <c r="B125" i="37"/>
  <c r="E125" i="37"/>
  <c r="F125" i="37" s="1"/>
  <c r="D129" i="25"/>
  <c r="I124" i="37"/>
  <c r="H124" i="37"/>
  <c r="J124" i="34"/>
  <c r="J124" i="38"/>
  <c r="J128" i="21"/>
  <c r="D130" i="21"/>
  <c r="E130" i="21" s="1"/>
  <c r="G129" i="21"/>
  <c r="I131" i="19"/>
  <c r="H131" i="19"/>
  <c r="G125" i="38"/>
  <c r="D126" i="38"/>
  <c r="E126" i="38" s="1"/>
  <c r="D130" i="24"/>
  <c r="E130" i="24" s="1"/>
  <c r="G129" i="24"/>
  <c r="G129" i="27"/>
  <c r="D130" i="27"/>
  <c r="E130" i="27" s="1"/>
  <c r="F132" i="19"/>
  <c r="B132" i="19"/>
  <c r="H130" i="29"/>
  <c r="I130" i="29"/>
  <c r="G125" i="34"/>
  <c r="D126" i="34"/>
  <c r="E126" i="34" s="1"/>
  <c r="J128" i="24"/>
  <c r="G126" i="13"/>
  <c r="D127" i="13"/>
  <c r="E127" i="13" s="1"/>
  <c r="F131" i="29"/>
  <c r="B129" i="22"/>
  <c r="F129" i="22"/>
  <c r="H125" i="20"/>
  <c r="I125" i="20"/>
  <c r="I128" i="22"/>
  <c r="H128" i="22"/>
  <c r="B126" i="20"/>
  <c r="E134" i="23"/>
  <c r="F134" i="23" s="1"/>
  <c r="I132" i="3"/>
  <c r="H132" i="3"/>
  <c r="E126" i="20"/>
  <c r="F126" i="20" s="1"/>
  <c r="F133" i="3"/>
  <c r="B133" i="3"/>
  <c r="H133" i="23"/>
  <c r="I133" i="23"/>
  <c r="F48" i="24" l="1"/>
  <c r="G48" i="24" s="1"/>
  <c r="B48" i="24"/>
  <c r="G47" i="23"/>
  <c r="I47" i="23" s="1"/>
  <c r="G43" i="34"/>
  <c r="I43" i="34" s="1"/>
  <c r="H47" i="28"/>
  <c r="I47" i="28" s="1"/>
  <c r="G43" i="31"/>
  <c r="I43" i="31" s="1"/>
  <c r="J132" i="4"/>
  <c r="G45" i="13"/>
  <c r="I45" i="13" s="1"/>
  <c r="I66" i="20"/>
  <c r="D42" i="38"/>
  <c r="E42" i="38"/>
  <c r="D45" i="29"/>
  <c r="E45" i="29"/>
  <c r="J131" i="19"/>
  <c r="G67" i="20"/>
  <c r="B68" i="20"/>
  <c r="H67" i="20"/>
  <c r="E68" i="20"/>
  <c r="F68" i="20" s="1"/>
  <c r="B52" i="3"/>
  <c r="F52" i="3"/>
  <c r="B51" i="4"/>
  <c r="F51" i="4"/>
  <c r="G41" i="38"/>
  <c r="J128" i="26"/>
  <c r="D43" i="37"/>
  <c r="E43" i="37"/>
  <c r="J131" i="18"/>
  <c r="D48" i="27"/>
  <c r="E48" i="27"/>
  <c r="D130" i="26"/>
  <c r="G129" i="26"/>
  <c r="H41" i="38"/>
  <c r="D48" i="28"/>
  <c r="E48" i="28" s="1"/>
  <c r="D46" i="25"/>
  <c r="E46" i="25"/>
  <c r="B48" i="21"/>
  <c r="F48" i="21"/>
  <c r="F47" i="22"/>
  <c r="G47" i="22" s="1"/>
  <c r="B47" i="22"/>
  <c r="B50" i="19"/>
  <c r="F50" i="19"/>
  <c r="G50" i="19" s="1"/>
  <c r="G47" i="27"/>
  <c r="I47" i="27" s="1"/>
  <c r="D46" i="13"/>
  <c r="E46" i="13" s="1"/>
  <c r="H45" i="25"/>
  <c r="B50" i="18"/>
  <c r="F50" i="18"/>
  <c r="H50" i="18" s="1"/>
  <c r="D44" i="35"/>
  <c r="E44" i="35"/>
  <c r="D47" i="26"/>
  <c r="E47" i="26"/>
  <c r="D48" i="23"/>
  <c r="E48" i="23" s="1"/>
  <c r="D44" i="31"/>
  <c r="E44" i="31"/>
  <c r="H44" i="29"/>
  <c r="G46" i="26"/>
  <c r="G45" i="25"/>
  <c r="G44" i="29"/>
  <c r="G43" i="35"/>
  <c r="I43" i="35" s="1"/>
  <c r="D44" i="34"/>
  <c r="E44" i="34"/>
  <c r="H42" i="37"/>
  <c r="I42" i="37" s="1"/>
  <c r="H46" i="26"/>
  <c r="J125" i="31"/>
  <c r="D133" i="18"/>
  <c r="G132" i="18"/>
  <c r="D134" i="4"/>
  <c r="G133" i="4"/>
  <c r="J133" i="23"/>
  <c r="D131" i="28"/>
  <c r="E131" i="28" s="1"/>
  <c r="G130" i="28"/>
  <c r="D126" i="37"/>
  <c r="E126" i="37" s="1"/>
  <c r="G125" i="37"/>
  <c r="J130" i="29"/>
  <c r="G126" i="35"/>
  <c r="D127" i="35"/>
  <c r="J125" i="20"/>
  <c r="J124" i="37"/>
  <c r="E129" i="25"/>
  <c r="F129" i="25" s="1"/>
  <c r="B129" i="25"/>
  <c r="G126" i="31"/>
  <c r="D127" i="31"/>
  <c r="H128" i="25"/>
  <c r="I128" i="25"/>
  <c r="J129" i="28"/>
  <c r="J125" i="35"/>
  <c r="J127" i="25"/>
  <c r="F130" i="27"/>
  <c r="B130" i="27"/>
  <c r="I129" i="27"/>
  <c r="H129" i="27"/>
  <c r="B126" i="34"/>
  <c r="F126" i="34"/>
  <c r="H125" i="38"/>
  <c r="I125" i="38"/>
  <c r="D132" i="29"/>
  <c r="G131" i="29"/>
  <c r="H125" i="34"/>
  <c r="I125" i="34"/>
  <c r="I129" i="24"/>
  <c r="H129" i="24"/>
  <c r="J128" i="22"/>
  <c r="D133" i="19"/>
  <c r="E133" i="19" s="1"/>
  <c r="G132" i="19"/>
  <c r="B130" i="24"/>
  <c r="F130" i="24"/>
  <c r="H129" i="21"/>
  <c r="I129" i="21"/>
  <c r="B127" i="13"/>
  <c r="F127" i="13"/>
  <c r="F130" i="21"/>
  <c r="B130" i="21"/>
  <c r="H126" i="13"/>
  <c r="I126" i="13"/>
  <c r="B126" i="38"/>
  <c r="F126" i="38"/>
  <c r="G126" i="20"/>
  <c r="D127" i="20"/>
  <c r="E127" i="20" s="1"/>
  <c r="D135" i="23"/>
  <c r="E135" i="23" s="1"/>
  <c r="G134" i="23"/>
  <c r="G133" i="3"/>
  <c r="D134" i="3"/>
  <c r="D130" i="22"/>
  <c r="G129" i="22"/>
  <c r="J132" i="3"/>
  <c r="H48" i="24" l="1"/>
  <c r="I48" i="24" s="1"/>
  <c r="D49" i="24"/>
  <c r="E49" i="24"/>
  <c r="J125" i="34"/>
  <c r="H50" i="19"/>
  <c r="I41" i="38"/>
  <c r="I46" i="26"/>
  <c r="F48" i="23"/>
  <c r="G48" i="23" s="1"/>
  <c r="B48" i="23"/>
  <c r="D49" i="21"/>
  <c r="E49" i="21"/>
  <c r="H129" i="26"/>
  <c r="I129" i="26"/>
  <c r="D52" i="4"/>
  <c r="E52" i="4" s="1"/>
  <c r="I45" i="25"/>
  <c r="E130" i="26"/>
  <c r="F130" i="26" s="1"/>
  <c r="B130" i="26"/>
  <c r="F47" i="26"/>
  <c r="B47" i="26"/>
  <c r="D53" i="3"/>
  <c r="E53" i="3" s="1"/>
  <c r="F46" i="13"/>
  <c r="B46" i="13"/>
  <c r="F46" i="25"/>
  <c r="G46" i="25" s="1"/>
  <c r="B46" i="25"/>
  <c r="B48" i="27"/>
  <c r="F48" i="27"/>
  <c r="G48" i="27" s="1"/>
  <c r="B43" i="37"/>
  <c r="F43" i="37"/>
  <c r="H43" i="37" s="1"/>
  <c r="G52" i="3"/>
  <c r="I44" i="29"/>
  <c r="F44" i="35"/>
  <c r="G44" i="35" s="1"/>
  <c r="B44" i="35"/>
  <c r="D48" i="22"/>
  <c r="E48" i="22"/>
  <c r="G50" i="18"/>
  <c r="I50" i="18" s="1"/>
  <c r="H47" i="22"/>
  <c r="I47" i="22" s="1"/>
  <c r="H52" i="3"/>
  <c r="F45" i="29"/>
  <c r="H45" i="29" s="1"/>
  <c r="F44" i="34"/>
  <c r="H44" i="34" s="1"/>
  <c r="B44" i="34"/>
  <c r="B44" i="31"/>
  <c r="F44" i="31"/>
  <c r="G44" i="31" s="1"/>
  <c r="D51" i="19"/>
  <c r="E51" i="19" s="1"/>
  <c r="H48" i="21"/>
  <c r="B48" i="28"/>
  <c r="F48" i="28"/>
  <c r="H48" i="28" s="1"/>
  <c r="H51" i="4"/>
  <c r="E69" i="20"/>
  <c r="F69" i="20" s="1"/>
  <c r="G68" i="20"/>
  <c r="H68" i="20"/>
  <c r="B69" i="20"/>
  <c r="J125" i="38"/>
  <c r="D51" i="18"/>
  <c r="E51" i="18" s="1"/>
  <c r="I50" i="19"/>
  <c r="G48" i="21"/>
  <c r="G51" i="4"/>
  <c r="I67" i="20"/>
  <c r="F42" i="38"/>
  <c r="G42" i="38" s="1"/>
  <c r="B42" i="38"/>
  <c r="E134" i="4"/>
  <c r="F134" i="4" s="1"/>
  <c r="B134" i="4"/>
  <c r="H132" i="18"/>
  <c r="I132" i="18"/>
  <c r="B133" i="18"/>
  <c r="E133" i="18"/>
  <c r="F133" i="18" s="1"/>
  <c r="I133" i="4"/>
  <c r="H133" i="4"/>
  <c r="E127" i="31"/>
  <c r="F127" i="31" s="1"/>
  <c r="B127" i="31"/>
  <c r="H126" i="35"/>
  <c r="I126" i="35"/>
  <c r="H126" i="31"/>
  <c r="I126" i="31"/>
  <c r="D130" i="25"/>
  <c r="G129" i="25"/>
  <c r="I125" i="37"/>
  <c r="H125" i="37"/>
  <c r="F126" i="37"/>
  <c r="B126" i="37"/>
  <c r="J128" i="25"/>
  <c r="H130" i="28"/>
  <c r="I130" i="28"/>
  <c r="E127" i="35"/>
  <c r="F127" i="35" s="1"/>
  <c r="B127" i="35"/>
  <c r="B131" i="28"/>
  <c r="F131" i="28"/>
  <c r="J129" i="24"/>
  <c r="J129" i="27"/>
  <c r="G127" i="13"/>
  <c r="D128" i="13"/>
  <c r="E128" i="13" s="1"/>
  <c r="I132" i="19"/>
  <c r="H132" i="19"/>
  <c r="B133" i="19"/>
  <c r="F133" i="19"/>
  <c r="D127" i="34"/>
  <c r="G126" i="34"/>
  <c r="D131" i="21"/>
  <c r="G130" i="21"/>
  <c r="J129" i="21"/>
  <c r="D127" i="38"/>
  <c r="E127" i="38" s="1"/>
  <c r="G126" i="38"/>
  <c r="E132" i="29"/>
  <c r="F132" i="29" s="1"/>
  <c r="J126" i="13"/>
  <c r="D131" i="24"/>
  <c r="E131" i="24" s="1"/>
  <c r="G130" i="24"/>
  <c r="I131" i="29"/>
  <c r="H131" i="29"/>
  <c r="G130" i="27"/>
  <c r="D131" i="27"/>
  <c r="H133" i="3"/>
  <c r="I133" i="3"/>
  <c r="B134" i="3"/>
  <c r="I134" i="23"/>
  <c r="H134" i="23"/>
  <c r="F135" i="23"/>
  <c r="B130" i="22"/>
  <c r="I129" i="22"/>
  <c r="H129" i="22"/>
  <c r="F127" i="20"/>
  <c r="B127" i="20"/>
  <c r="E130" i="22"/>
  <c r="F130" i="22" s="1"/>
  <c r="E134" i="3"/>
  <c r="F134" i="3" s="1"/>
  <c r="H126" i="20"/>
  <c r="I126" i="20"/>
  <c r="F49" i="24" l="1"/>
  <c r="H49" i="24" s="1"/>
  <c r="B49" i="24"/>
  <c r="J126" i="35"/>
  <c r="J126" i="31"/>
  <c r="H44" i="31"/>
  <c r="I44" i="31" s="1"/>
  <c r="G45" i="29"/>
  <c r="H44" i="35"/>
  <c r="I44" i="35" s="1"/>
  <c r="I68" i="20"/>
  <c r="I51" i="4"/>
  <c r="I45" i="29"/>
  <c r="G48" i="28"/>
  <c r="I48" i="28" s="1"/>
  <c r="H46" i="25"/>
  <c r="I46" i="25" s="1"/>
  <c r="J132" i="18"/>
  <c r="H48" i="23"/>
  <c r="I48" i="23" s="1"/>
  <c r="G130" i="26"/>
  <c r="D131" i="26"/>
  <c r="J133" i="3"/>
  <c r="G69" i="20"/>
  <c r="H69" i="20"/>
  <c r="B70" i="20"/>
  <c r="E70" i="20"/>
  <c r="F70" i="20" s="1"/>
  <c r="D47" i="13"/>
  <c r="E47" i="13" s="1"/>
  <c r="B51" i="19"/>
  <c r="F51" i="19"/>
  <c r="H51" i="19" s="1"/>
  <c r="D45" i="34"/>
  <c r="E45" i="34"/>
  <c r="B48" i="22"/>
  <c r="F48" i="22"/>
  <c r="G48" i="22" s="1"/>
  <c r="D44" i="37"/>
  <c r="E44" i="37"/>
  <c r="F53" i="3"/>
  <c r="H53" i="3" s="1"/>
  <c r="B53" i="3"/>
  <c r="B49" i="21"/>
  <c r="F49" i="21"/>
  <c r="H49" i="21" s="1"/>
  <c r="B51" i="18"/>
  <c r="F51" i="18"/>
  <c r="G51" i="18" s="1"/>
  <c r="D46" i="29"/>
  <c r="E46" i="29"/>
  <c r="D43" i="38"/>
  <c r="E43" i="38"/>
  <c r="D45" i="31"/>
  <c r="E45" i="31"/>
  <c r="G43" i="37"/>
  <c r="I43" i="37" s="1"/>
  <c r="D47" i="25"/>
  <c r="E47" i="25"/>
  <c r="D48" i="26"/>
  <c r="E48" i="26"/>
  <c r="F52" i="4"/>
  <c r="H52" i="4" s="1"/>
  <c r="B52" i="4"/>
  <c r="H42" i="38"/>
  <c r="I42" i="38" s="1"/>
  <c r="D49" i="28"/>
  <c r="E49" i="28" s="1"/>
  <c r="I52" i="3"/>
  <c r="H47" i="26"/>
  <c r="J132" i="19"/>
  <c r="G44" i="34"/>
  <c r="I44" i="34" s="1"/>
  <c r="D45" i="35"/>
  <c r="E45" i="35"/>
  <c r="D49" i="27"/>
  <c r="E49" i="27"/>
  <c r="G46" i="13"/>
  <c r="G47" i="26"/>
  <c r="D49" i="23"/>
  <c r="E49" i="23" s="1"/>
  <c r="I48" i="21"/>
  <c r="H48" i="27"/>
  <c r="I48" i="27" s="1"/>
  <c r="H46" i="13"/>
  <c r="J129" i="26"/>
  <c r="D134" i="18"/>
  <c r="G133" i="18"/>
  <c r="G134" i="4"/>
  <c r="D135" i="4"/>
  <c r="J130" i="28"/>
  <c r="J133" i="4"/>
  <c r="D128" i="35"/>
  <c r="B128" i="35" s="1"/>
  <c r="G127" i="35"/>
  <c r="I129" i="25"/>
  <c r="H129" i="25"/>
  <c r="E130" i="25"/>
  <c r="F130" i="25" s="1"/>
  <c r="B130" i="25"/>
  <c r="G131" i="28"/>
  <c r="D132" i="28"/>
  <c r="G126" i="37"/>
  <c r="D127" i="37"/>
  <c r="J125" i="37"/>
  <c r="D128" i="31"/>
  <c r="G127" i="31"/>
  <c r="G132" i="29"/>
  <c r="D133" i="29"/>
  <c r="E133" i="29" s="1"/>
  <c r="B127" i="34"/>
  <c r="I127" i="13"/>
  <c r="H127" i="13"/>
  <c r="H126" i="34"/>
  <c r="I126" i="34"/>
  <c r="F131" i="24"/>
  <c r="B131" i="24"/>
  <c r="D134" i="19"/>
  <c r="E134" i="19" s="1"/>
  <c r="G133" i="19"/>
  <c r="H130" i="24"/>
  <c r="I130" i="24"/>
  <c r="F127" i="38"/>
  <c r="B127" i="38"/>
  <c r="B131" i="21"/>
  <c r="B128" i="13"/>
  <c r="F128" i="13"/>
  <c r="B131" i="27"/>
  <c r="J131" i="29"/>
  <c r="J156" i="29" s="1"/>
  <c r="E131" i="21"/>
  <c r="F131" i="21" s="1"/>
  <c r="E131" i="27"/>
  <c r="F131" i="27" s="1"/>
  <c r="H126" i="38"/>
  <c r="I126" i="38"/>
  <c r="H130" i="27"/>
  <c r="I130" i="27"/>
  <c r="I130" i="21"/>
  <c r="H130" i="21"/>
  <c r="E127" i="34"/>
  <c r="F127" i="34" s="1"/>
  <c r="G130" i="22"/>
  <c r="D131" i="22"/>
  <c r="D135" i="3"/>
  <c r="E135" i="3" s="1"/>
  <c r="G134" i="3"/>
  <c r="D136" i="23"/>
  <c r="E136" i="23" s="1"/>
  <c r="G135" i="23"/>
  <c r="J134" i="23"/>
  <c r="J129" i="22"/>
  <c r="G127" i="20"/>
  <c r="D128" i="20"/>
  <c r="J126" i="20"/>
  <c r="G49" i="24" l="1"/>
  <c r="I49" i="24" s="1"/>
  <c r="D50" i="24"/>
  <c r="J126" i="38"/>
  <c r="G53" i="3"/>
  <c r="I53" i="3" s="1"/>
  <c r="G49" i="21"/>
  <c r="I49" i="21" s="1"/>
  <c r="I69" i="20"/>
  <c r="H48" i="22"/>
  <c r="I48" i="22" s="1"/>
  <c r="B43" i="38"/>
  <c r="F43" i="38"/>
  <c r="G43" i="38" s="1"/>
  <c r="B45" i="34"/>
  <c r="F45" i="34"/>
  <c r="F48" i="26"/>
  <c r="H48" i="26" s="1"/>
  <c r="B48" i="26"/>
  <c r="B44" i="37"/>
  <c r="F44" i="37"/>
  <c r="G44" i="37" s="1"/>
  <c r="F49" i="28"/>
  <c r="G49" i="28" s="1"/>
  <c r="B49" i="28"/>
  <c r="F46" i="29"/>
  <c r="D52" i="19"/>
  <c r="E52" i="19" s="1"/>
  <c r="B47" i="25"/>
  <c r="F47" i="25"/>
  <c r="H47" i="25" s="1"/>
  <c r="D52" i="18"/>
  <c r="E52" i="18" s="1"/>
  <c r="D49" i="22"/>
  <c r="E49" i="22"/>
  <c r="G51" i="19"/>
  <c r="I51" i="19" s="1"/>
  <c r="I46" i="13"/>
  <c r="F49" i="27"/>
  <c r="B49" i="27"/>
  <c r="B45" i="35"/>
  <c r="F45" i="35"/>
  <c r="G45" i="35" s="1"/>
  <c r="I47" i="26"/>
  <c r="D53" i="4"/>
  <c r="E53" i="4" s="1"/>
  <c r="F45" i="31"/>
  <c r="G45" i="31" s="1"/>
  <c r="B45" i="31"/>
  <c r="H51" i="18"/>
  <c r="I51" i="18" s="1"/>
  <c r="D54" i="3"/>
  <c r="E54" i="3" s="1"/>
  <c r="F47" i="13"/>
  <c r="G47" i="13" s="1"/>
  <c r="B47" i="13"/>
  <c r="E131" i="26"/>
  <c r="F131" i="26" s="1"/>
  <c r="B131" i="26"/>
  <c r="B49" i="23"/>
  <c r="F49" i="23"/>
  <c r="H49" i="23" s="1"/>
  <c r="G52" i="4"/>
  <c r="I52" i="4" s="1"/>
  <c r="D50" i="21"/>
  <c r="E50" i="21" s="1"/>
  <c r="B71" i="20"/>
  <c r="H70" i="20"/>
  <c r="G70" i="20"/>
  <c r="E71" i="20"/>
  <c r="F71" i="20" s="1"/>
  <c r="H130" i="26"/>
  <c r="I130" i="26"/>
  <c r="E135" i="4"/>
  <c r="F135" i="4" s="1"/>
  <c r="B135" i="4"/>
  <c r="I134" i="4"/>
  <c r="H134" i="4"/>
  <c r="I133" i="18"/>
  <c r="H133" i="18"/>
  <c r="E128" i="35"/>
  <c r="F128" i="35" s="1"/>
  <c r="E134" i="18"/>
  <c r="F134" i="18" s="1"/>
  <c r="B134" i="18"/>
  <c r="B128" i="31"/>
  <c r="D131" i="25"/>
  <c r="E131" i="25" s="1"/>
  <c r="G130" i="25"/>
  <c r="J126" i="34"/>
  <c r="B127" i="37"/>
  <c r="E127" i="37"/>
  <c r="F127" i="37" s="1"/>
  <c r="H126" i="37"/>
  <c r="I126" i="37"/>
  <c r="J129" i="25"/>
  <c r="B132" i="28"/>
  <c r="I127" i="31"/>
  <c r="H127" i="31"/>
  <c r="I131" i="28"/>
  <c r="H131" i="28"/>
  <c r="I127" i="35"/>
  <c r="H127" i="35"/>
  <c r="E128" i="31"/>
  <c r="F128" i="31" s="1"/>
  <c r="E132" i="28"/>
  <c r="F132" i="28" s="1"/>
  <c r="J130" i="27"/>
  <c r="D128" i="34"/>
  <c r="E128" i="34" s="1"/>
  <c r="G127" i="34"/>
  <c r="D132" i="27"/>
  <c r="E132" i="27" s="1"/>
  <c r="G131" i="27"/>
  <c r="G131" i="21"/>
  <c r="D132" i="21"/>
  <c r="I133" i="19"/>
  <c r="H133" i="19"/>
  <c r="J130" i="21"/>
  <c r="G131" i="24"/>
  <c r="D132" i="24"/>
  <c r="E132" i="24" s="1"/>
  <c r="B134" i="19"/>
  <c r="F134" i="19"/>
  <c r="F133" i="29"/>
  <c r="J127" i="13"/>
  <c r="H132" i="29"/>
  <c r="I132" i="29"/>
  <c r="G127" i="38"/>
  <c r="D128" i="38"/>
  <c r="D129" i="13"/>
  <c r="G128" i="13"/>
  <c r="J130" i="24"/>
  <c r="B135" i="3"/>
  <c r="F135" i="3"/>
  <c r="F136" i="23"/>
  <c r="I134" i="3"/>
  <c r="H134" i="3"/>
  <c r="B128" i="20"/>
  <c r="B131" i="22"/>
  <c r="I127" i="20"/>
  <c r="H127" i="20"/>
  <c r="E131" i="22"/>
  <c r="F131" i="22" s="1"/>
  <c r="E128" i="20"/>
  <c r="F128" i="20" s="1"/>
  <c r="H135" i="23"/>
  <c r="I135" i="23"/>
  <c r="I130" i="22"/>
  <c r="H130" i="22"/>
  <c r="E50" i="24" l="1"/>
  <c r="F50" i="24" s="1"/>
  <c r="G50" i="24" s="1"/>
  <c r="B50" i="24"/>
  <c r="H49" i="28"/>
  <c r="I49" i="28" s="1"/>
  <c r="H47" i="13"/>
  <c r="G49" i="23"/>
  <c r="I49" i="23" s="1"/>
  <c r="J130" i="26"/>
  <c r="J131" i="28"/>
  <c r="G48" i="26"/>
  <c r="I48" i="26" s="1"/>
  <c r="H45" i="31"/>
  <c r="I45" i="31" s="1"/>
  <c r="H43" i="38"/>
  <c r="I43" i="38" s="1"/>
  <c r="G131" i="26"/>
  <c r="D132" i="26"/>
  <c r="B132" i="26" s="1"/>
  <c r="E132" i="26"/>
  <c r="F50" i="21"/>
  <c r="H50" i="21" s="1"/>
  <c r="B50" i="21"/>
  <c r="D46" i="35"/>
  <c r="E46" i="35"/>
  <c r="D50" i="27"/>
  <c r="E50" i="27" s="1"/>
  <c r="D47" i="29"/>
  <c r="E47" i="29" s="1"/>
  <c r="D46" i="34"/>
  <c r="E46" i="34"/>
  <c r="D48" i="25"/>
  <c r="E48" i="25" s="1"/>
  <c r="D45" i="37"/>
  <c r="E45" i="37"/>
  <c r="I47" i="13"/>
  <c r="G45" i="34"/>
  <c r="J133" i="18"/>
  <c r="G71" i="20"/>
  <c r="B72" i="20"/>
  <c r="E72" i="20"/>
  <c r="F72" i="20" s="1"/>
  <c r="H71" i="20"/>
  <c r="D50" i="23"/>
  <c r="E50" i="23" s="1"/>
  <c r="D46" i="31"/>
  <c r="E46" i="31"/>
  <c r="H44" i="37"/>
  <c r="I44" i="37" s="1"/>
  <c r="H45" i="34"/>
  <c r="D48" i="13"/>
  <c r="E48" i="13" s="1"/>
  <c r="F49" i="22"/>
  <c r="H49" i="22" s="1"/>
  <c r="B49" i="22"/>
  <c r="D50" i="28"/>
  <c r="E50" i="28" s="1"/>
  <c r="J134" i="4"/>
  <c r="I70" i="20"/>
  <c r="B53" i="4"/>
  <c r="F53" i="4"/>
  <c r="H53" i="4" s="1"/>
  <c r="F52" i="19"/>
  <c r="G52" i="19" s="1"/>
  <c r="B52" i="19"/>
  <c r="B54" i="3"/>
  <c r="F54" i="3"/>
  <c r="H54" i="3" s="1"/>
  <c r="H49" i="27"/>
  <c r="B52" i="18"/>
  <c r="F52" i="18"/>
  <c r="H52" i="18" s="1"/>
  <c r="G46" i="29"/>
  <c r="D44" i="38"/>
  <c r="E44" i="38"/>
  <c r="H45" i="35"/>
  <c r="I45" i="35" s="1"/>
  <c r="G49" i="27"/>
  <c r="G47" i="25"/>
  <c r="I47" i="25" s="1"/>
  <c r="H46" i="29"/>
  <c r="D49" i="26"/>
  <c r="E49" i="26" s="1"/>
  <c r="D129" i="35"/>
  <c r="G128" i="35"/>
  <c r="J126" i="37"/>
  <c r="D135" i="18"/>
  <c r="G134" i="18"/>
  <c r="G135" i="4"/>
  <c r="D136" i="4"/>
  <c r="D133" i="28"/>
  <c r="E133" i="28" s="1"/>
  <c r="G132" i="28"/>
  <c r="D129" i="31"/>
  <c r="G128" i="31"/>
  <c r="G127" i="37"/>
  <c r="D128" i="37"/>
  <c r="B128" i="37" s="1"/>
  <c r="J127" i="31"/>
  <c r="H130" i="25"/>
  <c r="I130" i="25"/>
  <c r="F131" i="25"/>
  <c r="B131" i="25"/>
  <c r="J127" i="35"/>
  <c r="J127" i="20"/>
  <c r="H131" i="21"/>
  <c r="I131" i="21"/>
  <c r="B129" i="13"/>
  <c r="B128" i="38"/>
  <c r="D134" i="29"/>
  <c r="E134" i="29" s="1"/>
  <c r="G133" i="29"/>
  <c r="E128" i="38"/>
  <c r="F128" i="38" s="1"/>
  <c r="G134" i="19"/>
  <c r="D135" i="19"/>
  <c r="H131" i="27"/>
  <c r="I131" i="27"/>
  <c r="B132" i="21"/>
  <c r="J130" i="22"/>
  <c r="J134" i="3"/>
  <c r="H127" i="38"/>
  <c r="I127" i="38"/>
  <c r="J133" i="19"/>
  <c r="F132" i="27"/>
  <c r="B132" i="27"/>
  <c r="I128" i="13"/>
  <c r="H128" i="13"/>
  <c r="B132" i="24"/>
  <c r="F132" i="24"/>
  <c r="I127" i="34"/>
  <c r="H127" i="34"/>
  <c r="E129" i="13"/>
  <c r="F129" i="13" s="1"/>
  <c r="H131" i="24"/>
  <c r="I131" i="24"/>
  <c r="E132" i="21"/>
  <c r="F132" i="21" s="1"/>
  <c r="F128" i="34"/>
  <c r="B128" i="34"/>
  <c r="G131" i="22"/>
  <c r="D132" i="22"/>
  <c r="G128" i="20"/>
  <c r="D129" i="20"/>
  <c r="J135" i="23"/>
  <c r="D137" i="23"/>
  <c r="G136" i="23"/>
  <c r="D136" i="3"/>
  <c r="G135" i="3"/>
  <c r="H50" i="24" l="1"/>
  <c r="I50" i="24" s="1"/>
  <c r="D51" i="24"/>
  <c r="F132" i="26"/>
  <c r="E133" i="26" s="1"/>
  <c r="G49" i="22"/>
  <c r="I49" i="22" s="1"/>
  <c r="H52" i="19"/>
  <c r="I52" i="19" s="1"/>
  <c r="G50" i="21"/>
  <c r="I50" i="21" s="1"/>
  <c r="I46" i="29"/>
  <c r="D53" i="18"/>
  <c r="E53" i="18" s="1"/>
  <c r="D54" i="4"/>
  <c r="E54" i="4" s="1"/>
  <c r="B46" i="34"/>
  <c r="F46" i="34"/>
  <c r="G46" i="34" s="1"/>
  <c r="G53" i="4"/>
  <c r="I53" i="4" s="1"/>
  <c r="F46" i="31"/>
  <c r="G46" i="31" s="1"/>
  <c r="B46" i="31"/>
  <c r="I49" i="27"/>
  <c r="D50" i="22"/>
  <c r="E50" i="22"/>
  <c r="B50" i="23"/>
  <c r="F50" i="23"/>
  <c r="H50" i="23" s="1"/>
  <c r="F47" i="29"/>
  <c r="H47" i="29" s="1"/>
  <c r="D51" i="21"/>
  <c r="E51" i="21"/>
  <c r="D55" i="3"/>
  <c r="E55" i="3" s="1"/>
  <c r="B44" i="38"/>
  <c r="F44" i="38"/>
  <c r="F48" i="13"/>
  <c r="B48" i="13"/>
  <c r="I71" i="20"/>
  <c r="F45" i="37"/>
  <c r="G45" i="37" s="1"/>
  <c r="B45" i="37"/>
  <c r="B50" i="27"/>
  <c r="F50" i="27"/>
  <c r="H50" i="27" s="1"/>
  <c r="I45" i="34"/>
  <c r="G72" i="20"/>
  <c r="E73" i="20"/>
  <c r="B73" i="20"/>
  <c r="H72" i="20"/>
  <c r="I131" i="26"/>
  <c r="H131" i="26"/>
  <c r="B49" i="26"/>
  <c r="F49" i="26"/>
  <c r="H49" i="26" s="1"/>
  <c r="G52" i="18"/>
  <c r="I52" i="18" s="1"/>
  <c r="G54" i="3"/>
  <c r="I54" i="3" s="1"/>
  <c r="D53" i="19"/>
  <c r="E53" i="19" s="1"/>
  <c r="B50" i="28"/>
  <c r="F50" i="28"/>
  <c r="G50" i="28" s="1"/>
  <c r="B48" i="25"/>
  <c r="F48" i="25"/>
  <c r="G48" i="25" s="1"/>
  <c r="F46" i="35"/>
  <c r="G46" i="35" s="1"/>
  <c r="B46" i="35"/>
  <c r="E136" i="4"/>
  <c r="F136" i="4" s="1"/>
  <c r="B136" i="4"/>
  <c r="I135" i="4"/>
  <c r="H135" i="4"/>
  <c r="J131" i="27"/>
  <c r="H134" i="18"/>
  <c r="I134" i="18"/>
  <c r="E135" i="18"/>
  <c r="F135" i="18" s="1"/>
  <c r="B135" i="18"/>
  <c r="I128" i="35"/>
  <c r="H128" i="35"/>
  <c r="E129" i="35"/>
  <c r="F129" i="35" s="1"/>
  <c r="B129" i="35"/>
  <c r="I127" i="37"/>
  <c r="H127" i="37"/>
  <c r="I128" i="31"/>
  <c r="H128" i="31"/>
  <c r="D132" i="25"/>
  <c r="G131" i="25"/>
  <c r="E129" i="31"/>
  <c r="F129" i="31" s="1"/>
  <c r="B129" i="31"/>
  <c r="E128" i="37"/>
  <c r="F128" i="37" s="1"/>
  <c r="I132" i="28"/>
  <c r="H132" i="28"/>
  <c r="J130" i="25"/>
  <c r="J131" i="21"/>
  <c r="F133" i="28"/>
  <c r="B133" i="28"/>
  <c r="J128" i="13"/>
  <c r="J131" i="24"/>
  <c r="D129" i="38"/>
  <c r="G128" i="38"/>
  <c r="D133" i="21"/>
  <c r="E133" i="21" s="1"/>
  <c r="G132" i="21"/>
  <c r="J127" i="34"/>
  <c r="H134" i="19"/>
  <c r="I134" i="19"/>
  <c r="D130" i="13"/>
  <c r="E130" i="13" s="1"/>
  <c r="G129" i="13"/>
  <c r="B135" i="19"/>
  <c r="D133" i="24"/>
  <c r="E133" i="24" s="1"/>
  <c r="G132" i="24"/>
  <c r="G132" i="27"/>
  <c r="D133" i="27"/>
  <c r="E133" i="27" s="1"/>
  <c r="G128" i="34"/>
  <c r="D129" i="34"/>
  <c r="E129" i="34" s="1"/>
  <c r="H133" i="29"/>
  <c r="I133" i="29"/>
  <c r="J127" i="38"/>
  <c r="E135" i="19"/>
  <c r="F135" i="19" s="1"/>
  <c r="F134" i="29"/>
  <c r="B136" i="3"/>
  <c r="B129" i="20"/>
  <c r="E129" i="20"/>
  <c r="F129" i="20" s="1"/>
  <c r="H128" i="20"/>
  <c r="I128" i="20"/>
  <c r="B132" i="22"/>
  <c r="I135" i="3"/>
  <c r="H135" i="3"/>
  <c r="H136" i="23"/>
  <c r="I136" i="23"/>
  <c r="H131" i="22"/>
  <c r="I131" i="22"/>
  <c r="E136" i="3"/>
  <c r="F136" i="3" s="1"/>
  <c r="E137" i="23"/>
  <c r="F137" i="23" s="1"/>
  <c r="E132" i="22"/>
  <c r="F132" i="22" s="1"/>
  <c r="E51" i="24" l="1"/>
  <c r="F51" i="24" s="1"/>
  <c r="D52" i="24" s="1"/>
  <c r="B51" i="24"/>
  <c r="G47" i="29"/>
  <c r="I47" i="29" s="1"/>
  <c r="H46" i="34"/>
  <c r="I46" i="34" s="1"/>
  <c r="G132" i="26"/>
  <c r="D133" i="26"/>
  <c r="B133" i="26" s="1"/>
  <c r="H46" i="31"/>
  <c r="I46" i="31" s="1"/>
  <c r="H46" i="35"/>
  <c r="G50" i="23"/>
  <c r="I50" i="23" s="1"/>
  <c r="H48" i="25"/>
  <c r="I48" i="25" s="1"/>
  <c r="H45" i="37"/>
  <c r="I45" i="37" s="1"/>
  <c r="I72" i="20"/>
  <c r="D49" i="13"/>
  <c r="F55" i="3"/>
  <c r="G55" i="3" s="1"/>
  <c r="B55" i="3"/>
  <c r="B54" i="4"/>
  <c r="F54" i="4"/>
  <c r="J132" i="28"/>
  <c r="F73" i="20"/>
  <c r="E74" i="20"/>
  <c r="D47" i="31"/>
  <c r="E47" i="31" s="1"/>
  <c r="J134" i="18"/>
  <c r="D51" i="28"/>
  <c r="E51" i="28" s="1"/>
  <c r="D50" i="26"/>
  <c r="E50" i="26" s="1"/>
  <c r="F51" i="21"/>
  <c r="H51" i="21" s="1"/>
  <c r="B51" i="21"/>
  <c r="I46" i="35"/>
  <c r="D46" i="37"/>
  <c r="E46" i="37"/>
  <c r="D45" i="38"/>
  <c r="E45" i="38"/>
  <c r="F50" i="22"/>
  <c r="H50" i="22" s="1"/>
  <c r="B50" i="22"/>
  <c r="D47" i="35"/>
  <c r="E47" i="35" s="1"/>
  <c r="H50" i="28"/>
  <c r="I50" i="28" s="1"/>
  <c r="G49" i="26"/>
  <c r="I49" i="26" s="1"/>
  <c r="G44" i="38"/>
  <c r="D51" i="27"/>
  <c r="E51" i="27" s="1"/>
  <c r="G48" i="13"/>
  <c r="D48" i="29"/>
  <c r="E48" i="29" s="1"/>
  <c r="D47" i="34"/>
  <c r="E47" i="34"/>
  <c r="F53" i="18"/>
  <c r="G53" i="18" s="1"/>
  <c r="B53" i="18"/>
  <c r="D49" i="25"/>
  <c r="E49" i="25"/>
  <c r="F53" i="19"/>
  <c r="H53" i="19" s="1"/>
  <c r="B53" i="19"/>
  <c r="J131" i="26"/>
  <c r="G50" i="27"/>
  <c r="I50" i="27" s="1"/>
  <c r="H48" i="13"/>
  <c r="H44" i="38"/>
  <c r="D51" i="23"/>
  <c r="E51" i="23" s="1"/>
  <c r="D136" i="18"/>
  <c r="B136" i="18" s="1"/>
  <c r="G135" i="18"/>
  <c r="G136" i="4"/>
  <c r="D137" i="4"/>
  <c r="J128" i="35"/>
  <c r="J135" i="4"/>
  <c r="G129" i="35"/>
  <c r="D130" i="35"/>
  <c r="J136" i="23"/>
  <c r="G129" i="31"/>
  <c r="D130" i="31"/>
  <c r="G133" i="28"/>
  <c r="D134" i="28"/>
  <c r="H131" i="25"/>
  <c r="I131" i="25"/>
  <c r="E132" i="25"/>
  <c r="F132" i="25" s="1"/>
  <c r="B132" i="25"/>
  <c r="J128" i="31"/>
  <c r="G128" i="37"/>
  <c r="D129" i="37"/>
  <c r="J127" i="37"/>
  <c r="G135" i="19"/>
  <c r="D136" i="19"/>
  <c r="J128" i="20"/>
  <c r="F129" i="34"/>
  <c r="B129" i="34"/>
  <c r="I128" i="34"/>
  <c r="H128" i="34"/>
  <c r="I132" i="21"/>
  <c r="H132" i="21"/>
  <c r="F133" i="27"/>
  <c r="B133" i="27"/>
  <c r="I132" i="24"/>
  <c r="H132" i="24"/>
  <c r="I129" i="13"/>
  <c r="H129" i="13"/>
  <c r="B133" i="21"/>
  <c r="F133" i="21"/>
  <c r="H132" i="27"/>
  <c r="I132" i="27"/>
  <c r="B133" i="24"/>
  <c r="F133" i="24"/>
  <c r="B130" i="13"/>
  <c r="F130" i="13"/>
  <c r="J134" i="19"/>
  <c r="H128" i="38"/>
  <c r="I128" i="38"/>
  <c r="B129" i="38"/>
  <c r="G134" i="29"/>
  <c r="D135" i="29"/>
  <c r="E135" i="29" s="1"/>
  <c r="E129" i="38"/>
  <c r="F129" i="38" s="1"/>
  <c r="G132" i="22"/>
  <c r="D133" i="22"/>
  <c r="E133" i="22" s="1"/>
  <c r="G137" i="23"/>
  <c r="D138" i="23"/>
  <c r="E138" i="23" s="1"/>
  <c r="G129" i="20"/>
  <c r="D130" i="20"/>
  <c r="E130" i="20" s="1"/>
  <c r="G136" i="3"/>
  <c r="D137" i="3"/>
  <c r="E137" i="3" s="1"/>
  <c r="J135" i="3"/>
  <c r="J131" i="22"/>
  <c r="I44" i="38" l="1"/>
  <c r="H55" i="3"/>
  <c r="H51" i="24"/>
  <c r="E52" i="24"/>
  <c r="F52" i="24" s="1"/>
  <c r="B52" i="24"/>
  <c r="G51" i="24"/>
  <c r="H132" i="26"/>
  <c r="I132" i="26"/>
  <c r="F133" i="26"/>
  <c r="I48" i="13"/>
  <c r="G53" i="19"/>
  <c r="I53" i="19" s="1"/>
  <c r="G51" i="21"/>
  <c r="I51" i="21" s="1"/>
  <c r="F51" i="28"/>
  <c r="H51" i="28" s="1"/>
  <c r="B51" i="28"/>
  <c r="B51" i="27"/>
  <c r="F51" i="27"/>
  <c r="G51" i="27" s="1"/>
  <c r="H73" i="20"/>
  <c r="G73" i="20"/>
  <c r="G74" i="20" s="1"/>
  <c r="D54" i="18"/>
  <c r="E54" i="18" s="1"/>
  <c r="D51" i="22"/>
  <c r="E51" i="22"/>
  <c r="I55" i="3"/>
  <c r="B51" i="23"/>
  <c r="F51" i="23"/>
  <c r="G50" i="22"/>
  <c r="I50" i="22" s="1"/>
  <c r="D56" i="3"/>
  <c r="E56" i="3" s="1"/>
  <c r="D54" i="19"/>
  <c r="E54" i="19" s="1"/>
  <c r="F47" i="34"/>
  <c r="H47" i="34" s="1"/>
  <c r="B47" i="34"/>
  <c r="D52" i="21"/>
  <c r="E52" i="21"/>
  <c r="D55" i="4"/>
  <c r="E55" i="4" s="1"/>
  <c r="B49" i="13"/>
  <c r="F45" i="38"/>
  <c r="H45" i="38" s="1"/>
  <c r="B45" i="38"/>
  <c r="H54" i="4"/>
  <c r="E49" i="13"/>
  <c r="F49" i="13" s="1"/>
  <c r="F49" i="25"/>
  <c r="H49" i="25" s="1"/>
  <c r="B49" i="25"/>
  <c r="F48" i="29"/>
  <c r="B50" i="26"/>
  <c r="F50" i="26"/>
  <c r="G50" i="26" s="1"/>
  <c r="J132" i="27"/>
  <c r="H53" i="18"/>
  <c r="I53" i="18" s="1"/>
  <c r="F47" i="35"/>
  <c r="H47" i="35" s="1"/>
  <c r="B47" i="35"/>
  <c r="F46" i="37"/>
  <c r="H46" i="37" s="1"/>
  <c r="B46" i="37"/>
  <c r="B47" i="31"/>
  <c r="F47" i="31"/>
  <c r="H47" i="31" s="1"/>
  <c r="G54" i="4"/>
  <c r="E137" i="4"/>
  <c r="F137" i="4" s="1"/>
  <c r="B137" i="4"/>
  <c r="I136" i="4"/>
  <c r="H136" i="4"/>
  <c r="E136" i="18"/>
  <c r="F136" i="18" s="1"/>
  <c r="H135" i="18"/>
  <c r="I135" i="18"/>
  <c r="H129" i="35"/>
  <c r="I129" i="35"/>
  <c r="J131" i="25"/>
  <c r="J156" i="25" s="1"/>
  <c r="E130" i="35"/>
  <c r="F130" i="35" s="1"/>
  <c r="B130" i="35"/>
  <c r="E129" i="37"/>
  <c r="F129" i="37" s="1"/>
  <c r="B129" i="37"/>
  <c r="I128" i="37"/>
  <c r="H128" i="37"/>
  <c r="B134" i="28"/>
  <c r="E134" i="28"/>
  <c r="F134" i="28" s="1"/>
  <c r="H133" i="28"/>
  <c r="I133" i="28"/>
  <c r="D133" i="25"/>
  <c r="G132" i="25"/>
  <c r="B130" i="31"/>
  <c r="H129" i="31"/>
  <c r="I129" i="31"/>
  <c r="E130" i="31"/>
  <c r="F130" i="31" s="1"/>
  <c r="D130" i="38"/>
  <c r="E130" i="38" s="1"/>
  <c r="G129" i="38"/>
  <c r="J132" i="21"/>
  <c r="J128" i="34"/>
  <c r="H134" i="29"/>
  <c r="I134" i="29"/>
  <c r="G130" i="13"/>
  <c r="D131" i="13"/>
  <c r="E131" i="13" s="1"/>
  <c r="J129" i="13"/>
  <c r="G133" i="24"/>
  <c r="D134" i="24"/>
  <c r="E134" i="24" s="1"/>
  <c r="G133" i="21"/>
  <c r="D134" i="21"/>
  <c r="E134" i="21"/>
  <c r="J132" i="24"/>
  <c r="B136" i="19"/>
  <c r="G129" i="34"/>
  <c r="D130" i="34"/>
  <c r="E130" i="34" s="1"/>
  <c r="E136" i="19"/>
  <c r="F136" i="19" s="1"/>
  <c r="F135" i="29"/>
  <c r="J128" i="38"/>
  <c r="G133" i="27"/>
  <c r="D134" i="27"/>
  <c r="E134" i="27" s="1"/>
  <c r="I135" i="19"/>
  <c r="H135" i="19"/>
  <c r="F138" i="23"/>
  <c r="H137" i="23"/>
  <c r="I137" i="23"/>
  <c r="B137" i="3"/>
  <c r="F137" i="3"/>
  <c r="H136" i="3"/>
  <c r="I136" i="3"/>
  <c r="F133" i="22"/>
  <c r="B133" i="22"/>
  <c r="H129" i="20"/>
  <c r="I129" i="20"/>
  <c r="B130" i="20"/>
  <c r="F130" i="20"/>
  <c r="I132" i="22"/>
  <c r="H132" i="22"/>
  <c r="D53" i="24" l="1"/>
  <c r="G52" i="24"/>
  <c r="H52" i="24"/>
  <c r="I51" i="24"/>
  <c r="D134" i="26"/>
  <c r="G133" i="26"/>
  <c r="G51" i="28"/>
  <c r="I51" i="28" s="1"/>
  <c r="J132" i="26"/>
  <c r="J133" i="28"/>
  <c r="J129" i="35"/>
  <c r="G47" i="31"/>
  <c r="I47" i="31" s="1"/>
  <c r="G45" i="38"/>
  <c r="I45" i="38" s="1"/>
  <c r="H50" i="26"/>
  <c r="I50" i="26" s="1"/>
  <c r="G47" i="34"/>
  <c r="I47" i="34" s="1"/>
  <c r="G46" i="37"/>
  <c r="I46" i="37" s="1"/>
  <c r="J137" i="23"/>
  <c r="G47" i="35"/>
  <c r="I47" i="35" s="1"/>
  <c r="D50" i="13"/>
  <c r="E50" i="13" s="1"/>
  <c r="H49" i="13"/>
  <c r="G49" i="13"/>
  <c r="J135" i="18"/>
  <c r="F52" i="21"/>
  <c r="G52" i="21" s="1"/>
  <c r="B52" i="21"/>
  <c r="B56" i="3"/>
  <c r="F56" i="3"/>
  <c r="D50" i="25"/>
  <c r="E50" i="25"/>
  <c r="D52" i="27"/>
  <c r="E52" i="27"/>
  <c r="F51" i="22"/>
  <c r="G51" i="22" s="1"/>
  <c r="B51" i="22"/>
  <c r="H51" i="27"/>
  <c r="I51" i="27" s="1"/>
  <c r="D48" i="31"/>
  <c r="E48" i="31" s="1"/>
  <c r="D49" i="29"/>
  <c r="E49" i="29"/>
  <c r="I54" i="4"/>
  <c r="J129" i="31"/>
  <c r="D48" i="35"/>
  <c r="E48" i="35"/>
  <c r="G48" i="29"/>
  <c r="D48" i="34"/>
  <c r="E48" i="34" s="1"/>
  <c r="D52" i="23"/>
  <c r="E52" i="23" s="1"/>
  <c r="B54" i="18"/>
  <c r="F54" i="18"/>
  <c r="H54" i="18" s="1"/>
  <c r="H48" i="29"/>
  <c r="G49" i="25"/>
  <c r="I49" i="25" s="1"/>
  <c r="B55" i="4"/>
  <c r="F55" i="4"/>
  <c r="F54" i="19"/>
  <c r="H54" i="19" s="1"/>
  <c r="B54" i="19"/>
  <c r="G51" i="23"/>
  <c r="I73" i="20"/>
  <c r="I74" i="20" s="1"/>
  <c r="H74" i="20"/>
  <c r="J136" i="3"/>
  <c r="D47" i="37"/>
  <c r="E47" i="37" s="1"/>
  <c r="D51" i="26"/>
  <c r="E51" i="26"/>
  <c r="D46" i="38"/>
  <c r="E46" i="38" s="1"/>
  <c r="H51" i="23"/>
  <c r="D52" i="28"/>
  <c r="E52" i="28" s="1"/>
  <c r="G130" i="35"/>
  <c r="D131" i="35"/>
  <c r="E131" i="35" s="1"/>
  <c r="G136" i="18"/>
  <c r="D137" i="18"/>
  <c r="J136" i="4"/>
  <c r="D138" i="4"/>
  <c r="G137" i="4"/>
  <c r="G134" i="28"/>
  <c r="D135" i="28"/>
  <c r="E135" i="28" s="1"/>
  <c r="G130" i="31"/>
  <c r="D131" i="31"/>
  <c r="E131" i="31" s="1"/>
  <c r="H132" i="25"/>
  <c r="I132" i="25"/>
  <c r="J128" i="37"/>
  <c r="E133" i="25"/>
  <c r="F133" i="25" s="1"/>
  <c r="B133" i="25"/>
  <c r="D130" i="37"/>
  <c r="E130" i="37" s="1"/>
  <c r="G129" i="37"/>
  <c r="J132" i="22"/>
  <c r="D137" i="19"/>
  <c r="E137" i="19" s="1"/>
  <c r="G136" i="19"/>
  <c r="H133" i="27"/>
  <c r="I133" i="27"/>
  <c r="B130" i="34"/>
  <c r="F130" i="34"/>
  <c r="J135" i="19"/>
  <c r="G135" i="29"/>
  <c r="D136" i="29"/>
  <c r="E136" i="29" s="1"/>
  <c r="I129" i="34"/>
  <c r="H129" i="34"/>
  <c r="F134" i="24"/>
  <c r="B134" i="24"/>
  <c r="B134" i="21"/>
  <c r="F134" i="21"/>
  <c r="H133" i="24"/>
  <c r="I133" i="24"/>
  <c r="I133" i="21"/>
  <c r="H133" i="21"/>
  <c r="H129" i="38"/>
  <c r="I129" i="38"/>
  <c r="F131" i="13"/>
  <c r="B131" i="13"/>
  <c r="J129" i="20"/>
  <c r="B134" i="27"/>
  <c r="F134" i="27"/>
  <c r="H130" i="13"/>
  <c r="I130" i="13"/>
  <c r="F130" i="38"/>
  <c r="B130" i="38"/>
  <c r="G138" i="23"/>
  <c r="D139" i="23"/>
  <c r="E139" i="23" s="1"/>
  <c r="D131" i="20"/>
  <c r="E131" i="20" s="1"/>
  <c r="G130" i="20"/>
  <c r="G133" i="22"/>
  <c r="D134" i="22"/>
  <c r="E134" i="22" s="1"/>
  <c r="D138" i="3"/>
  <c r="G137" i="3"/>
  <c r="I52" i="24" l="1"/>
  <c r="E53" i="24"/>
  <c r="F53" i="24" s="1"/>
  <c r="H53" i="24" s="1"/>
  <c r="B53" i="24"/>
  <c r="I133" i="26"/>
  <c r="H133" i="26"/>
  <c r="E134" i="26"/>
  <c r="F134" i="26" s="1"/>
  <c r="E135" i="26" s="1"/>
  <c r="B134" i="26"/>
  <c r="I48" i="29"/>
  <c r="I51" i="23"/>
  <c r="B52" i="23"/>
  <c r="F52" i="23"/>
  <c r="G52" i="23" s="1"/>
  <c r="F47" i="37"/>
  <c r="G47" i="37" s="1"/>
  <c r="B47" i="37"/>
  <c r="F49" i="29"/>
  <c r="D52" i="22"/>
  <c r="E52" i="22" s="1"/>
  <c r="B50" i="25"/>
  <c r="F50" i="25"/>
  <c r="G50" i="25" s="1"/>
  <c r="D53" i="21"/>
  <c r="E53" i="21" s="1"/>
  <c r="F52" i="28"/>
  <c r="G52" i="28" s="1"/>
  <c r="B52" i="28"/>
  <c r="D55" i="19"/>
  <c r="E55" i="19" s="1"/>
  <c r="B48" i="34"/>
  <c r="F48" i="34"/>
  <c r="H48" i="34" s="1"/>
  <c r="D57" i="3"/>
  <c r="E57" i="3" s="1"/>
  <c r="D56" i="4"/>
  <c r="E56" i="4" s="1"/>
  <c r="F52" i="27"/>
  <c r="H52" i="27" s="1"/>
  <c r="B52" i="27"/>
  <c r="H56" i="3"/>
  <c r="G55" i="4"/>
  <c r="D55" i="18"/>
  <c r="E55" i="18" s="1"/>
  <c r="F48" i="31"/>
  <c r="H48" i="31" s="1"/>
  <c r="B48" i="31"/>
  <c r="G56" i="3"/>
  <c r="I49" i="13"/>
  <c r="B46" i="38"/>
  <c r="F46" i="38"/>
  <c r="G54" i="18"/>
  <c r="I54" i="18" s="1"/>
  <c r="B48" i="35"/>
  <c r="F48" i="35"/>
  <c r="H48" i="35" s="1"/>
  <c r="H55" i="4"/>
  <c r="H51" i="22"/>
  <c r="I51" i="22" s="1"/>
  <c r="H52" i="21"/>
  <c r="I52" i="21" s="1"/>
  <c r="B50" i="13"/>
  <c r="F50" i="13"/>
  <c r="G50" i="13" s="1"/>
  <c r="J133" i="27"/>
  <c r="F51" i="26"/>
  <c r="G51" i="26" s="1"/>
  <c r="B51" i="26"/>
  <c r="G54" i="19"/>
  <c r="I54" i="19" s="1"/>
  <c r="E137" i="18"/>
  <c r="F137" i="18" s="1"/>
  <c r="B137" i="18"/>
  <c r="H137" i="4"/>
  <c r="I137" i="4"/>
  <c r="I136" i="18"/>
  <c r="H136" i="18"/>
  <c r="E138" i="4"/>
  <c r="F138" i="4" s="1"/>
  <c r="B138" i="4"/>
  <c r="B131" i="35"/>
  <c r="F131" i="35"/>
  <c r="J130" i="13"/>
  <c r="J133" i="24"/>
  <c r="I130" i="35"/>
  <c r="H130" i="35"/>
  <c r="G133" i="25"/>
  <c r="D134" i="25"/>
  <c r="E134" i="25" s="1"/>
  <c r="H129" i="37"/>
  <c r="I129" i="37"/>
  <c r="F130" i="37"/>
  <c r="B130" i="37"/>
  <c r="B131" i="31"/>
  <c r="F131" i="31"/>
  <c r="H130" i="31"/>
  <c r="I130" i="31"/>
  <c r="B135" i="28"/>
  <c r="F135" i="28"/>
  <c r="H134" i="28"/>
  <c r="I134" i="28"/>
  <c r="J129" i="38"/>
  <c r="D131" i="34"/>
  <c r="E131" i="34" s="1"/>
  <c r="G130" i="34"/>
  <c r="G131" i="13"/>
  <c r="D132" i="13"/>
  <c r="E132" i="13" s="1"/>
  <c r="G134" i="21"/>
  <c r="D135" i="21"/>
  <c r="E135" i="21" s="1"/>
  <c r="J129" i="34"/>
  <c r="G134" i="24"/>
  <c r="D135" i="24"/>
  <c r="E135" i="24" s="1"/>
  <c r="H136" i="19"/>
  <c r="I136" i="19"/>
  <c r="D135" i="27"/>
  <c r="G134" i="27"/>
  <c r="G130" i="38"/>
  <c r="D131" i="38"/>
  <c r="E131" i="38" s="1"/>
  <c r="F136" i="29"/>
  <c r="J133" i="21"/>
  <c r="H135" i="29"/>
  <c r="I135" i="29"/>
  <c r="B137" i="19"/>
  <c r="F137" i="19"/>
  <c r="H138" i="23"/>
  <c r="I138" i="23"/>
  <c r="H133" i="22"/>
  <c r="I133" i="22"/>
  <c r="B138" i="3"/>
  <c r="I130" i="20"/>
  <c r="H130" i="20"/>
  <c r="F134" i="22"/>
  <c r="B134" i="22"/>
  <c r="E138" i="3"/>
  <c r="F138" i="3" s="1"/>
  <c r="F131" i="20"/>
  <c r="B131" i="20"/>
  <c r="H137" i="3"/>
  <c r="I137" i="3"/>
  <c r="F139" i="23"/>
  <c r="G53" i="24" l="1"/>
  <c r="I53" i="24" s="1"/>
  <c r="D54" i="24"/>
  <c r="J137" i="4"/>
  <c r="D135" i="26"/>
  <c r="B135" i="26" s="1"/>
  <c r="G134" i="26"/>
  <c r="J133" i="26"/>
  <c r="H51" i="26"/>
  <c r="G48" i="31"/>
  <c r="I48" i="31" s="1"/>
  <c r="H47" i="37"/>
  <c r="I47" i="37" s="1"/>
  <c r="I55" i="4"/>
  <c r="G48" i="35"/>
  <c r="I48" i="35" s="1"/>
  <c r="G52" i="27"/>
  <c r="I52" i="27" s="1"/>
  <c r="H52" i="28"/>
  <c r="I52" i="28" s="1"/>
  <c r="H50" i="25"/>
  <c r="I50" i="25" s="1"/>
  <c r="I51" i="26"/>
  <c r="I56" i="3"/>
  <c r="F57" i="3"/>
  <c r="H57" i="3" s="1"/>
  <c r="B57" i="3"/>
  <c r="D47" i="38"/>
  <c r="E47" i="38"/>
  <c r="D49" i="34"/>
  <c r="E49" i="34"/>
  <c r="D53" i="28"/>
  <c r="E53" i="28" s="1"/>
  <c r="B52" i="22"/>
  <c r="F52" i="22"/>
  <c r="G52" i="22" s="1"/>
  <c r="D48" i="37"/>
  <c r="E48" i="37" s="1"/>
  <c r="D52" i="26"/>
  <c r="E52" i="26" s="1"/>
  <c r="D49" i="31"/>
  <c r="E49" i="31" s="1"/>
  <c r="D53" i="27"/>
  <c r="E53" i="27" s="1"/>
  <c r="D50" i="29"/>
  <c r="E50" i="29" s="1"/>
  <c r="G46" i="38"/>
  <c r="G48" i="34"/>
  <c r="I48" i="34" s="1"/>
  <c r="F53" i="21"/>
  <c r="B53" i="21"/>
  <c r="G49" i="29"/>
  <c r="D53" i="23"/>
  <c r="E53" i="23" s="1"/>
  <c r="D51" i="13"/>
  <c r="H46" i="38"/>
  <c r="B55" i="18"/>
  <c r="F55" i="18"/>
  <c r="D51" i="25"/>
  <c r="E51" i="25" s="1"/>
  <c r="H49" i="29"/>
  <c r="H50" i="13"/>
  <c r="I50" i="13" s="1"/>
  <c r="D49" i="35"/>
  <c r="E49" i="35" s="1"/>
  <c r="F56" i="4"/>
  <c r="G56" i="4" s="1"/>
  <c r="B56" i="4"/>
  <c r="B55" i="19"/>
  <c r="F55" i="19"/>
  <c r="H55" i="19" s="1"/>
  <c r="H52" i="23"/>
  <c r="I52" i="23" s="1"/>
  <c r="J134" i="28"/>
  <c r="J130" i="35"/>
  <c r="J136" i="18"/>
  <c r="J129" i="37"/>
  <c r="D139" i="4"/>
  <c r="B139" i="4" s="1"/>
  <c r="G138" i="4"/>
  <c r="D132" i="35"/>
  <c r="G131" i="35"/>
  <c r="J130" i="31"/>
  <c r="D138" i="18"/>
  <c r="G137" i="18"/>
  <c r="G130" i="37"/>
  <c r="D131" i="37"/>
  <c r="G135" i="28"/>
  <c r="D136" i="28"/>
  <c r="B134" i="25"/>
  <c r="F134" i="25"/>
  <c r="D132" i="31"/>
  <c r="G131" i="31"/>
  <c r="H133" i="25"/>
  <c r="I133" i="25"/>
  <c r="J133" i="22"/>
  <c r="J138" i="23"/>
  <c r="J136" i="19"/>
  <c r="G136" i="29"/>
  <c r="D137" i="29"/>
  <c r="F135" i="24"/>
  <c r="B135" i="24"/>
  <c r="I130" i="34"/>
  <c r="H130" i="34"/>
  <c r="H134" i="24"/>
  <c r="I134" i="24"/>
  <c r="B132" i="13"/>
  <c r="F132" i="13"/>
  <c r="B131" i="34"/>
  <c r="F131" i="34"/>
  <c r="B135" i="27"/>
  <c r="H131" i="13"/>
  <c r="I131" i="13"/>
  <c r="H130" i="38"/>
  <c r="I130" i="38"/>
  <c r="B135" i="21"/>
  <c r="F135" i="21"/>
  <c r="F131" i="38"/>
  <c r="B131" i="38"/>
  <c r="E135" i="27"/>
  <c r="F135" i="27" s="1"/>
  <c r="H134" i="21"/>
  <c r="I134" i="21"/>
  <c r="D138" i="19"/>
  <c r="E138" i="19" s="1"/>
  <c r="G137" i="19"/>
  <c r="J137" i="3"/>
  <c r="H134" i="27"/>
  <c r="I134" i="27"/>
  <c r="G138" i="3"/>
  <c r="D139" i="3"/>
  <c r="E139" i="3" s="1"/>
  <c r="D140" i="23"/>
  <c r="E140" i="23" s="1"/>
  <c r="G139" i="23"/>
  <c r="D135" i="22"/>
  <c r="E135" i="22" s="1"/>
  <c r="G134" i="22"/>
  <c r="D132" i="20"/>
  <c r="G131" i="20"/>
  <c r="J130" i="20"/>
  <c r="E54" i="24" l="1"/>
  <c r="F54" i="24" s="1"/>
  <c r="H54" i="24" s="1"/>
  <c r="B54" i="24"/>
  <c r="J134" i="21"/>
  <c r="F135" i="26"/>
  <c r="E136" i="26" s="1"/>
  <c r="I134" i="26"/>
  <c r="H134" i="26"/>
  <c r="H56" i="4"/>
  <c r="I56" i="4" s="1"/>
  <c r="I49" i="29"/>
  <c r="H52" i="22"/>
  <c r="I52" i="22" s="1"/>
  <c r="I46" i="38"/>
  <c r="G57" i="3"/>
  <c r="I57" i="3" s="1"/>
  <c r="D56" i="18"/>
  <c r="E56" i="18" s="1"/>
  <c r="G55" i="18"/>
  <c r="D54" i="21"/>
  <c r="E54" i="21"/>
  <c r="F49" i="31"/>
  <c r="B49" i="31"/>
  <c r="D56" i="19"/>
  <c r="E56" i="19" s="1"/>
  <c r="F49" i="35"/>
  <c r="G49" i="35" s="1"/>
  <c r="B49" i="35"/>
  <c r="B52" i="26"/>
  <c r="F52" i="26"/>
  <c r="H52" i="26" s="1"/>
  <c r="B53" i="28"/>
  <c r="F53" i="28"/>
  <c r="H53" i="28" s="1"/>
  <c r="G55" i="19"/>
  <c r="I55" i="19" s="1"/>
  <c r="B53" i="23"/>
  <c r="F53" i="23"/>
  <c r="H53" i="23" s="1"/>
  <c r="B51" i="13"/>
  <c r="F50" i="29"/>
  <c r="B48" i="37"/>
  <c r="F48" i="37"/>
  <c r="G48" i="37" s="1"/>
  <c r="B49" i="34"/>
  <c r="F49" i="34"/>
  <c r="H49" i="34" s="1"/>
  <c r="B51" i="25"/>
  <c r="F51" i="25"/>
  <c r="G51" i="25" s="1"/>
  <c r="E51" i="13"/>
  <c r="F51" i="13" s="1"/>
  <c r="H53" i="21"/>
  <c r="D58" i="3"/>
  <c r="E58" i="3" s="1"/>
  <c r="D57" i="4"/>
  <c r="E57" i="4" s="1"/>
  <c r="H55" i="18"/>
  <c r="G53" i="21"/>
  <c r="F53" i="27"/>
  <c r="H53" i="27" s="1"/>
  <c r="B53" i="27"/>
  <c r="D53" i="22"/>
  <c r="E53" i="22" s="1"/>
  <c r="F47" i="38"/>
  <c r="H47" i="38" s="1"/>
  <c r="B47" i="38"/>
  <c r="E132" i="35"/>
  <c r="F132" i="35" s="1"/>
  <c r="B132" i="35"/>
  <c r="I138" i="4"/>
  <c r="H138" i="4"/>
  <c r="H137" i="18"/>
  <c r="I137" i="18"/>
  <c r="E138" i="18"/>
  <c r="F138" i="18" s="1"/>
  <c r="B138" i="18"/>
  <c r="J134" i="27"/>
  <c r="H131" i="35"/>
  <c r="I131" i="35"/>
  <c r="E139" i="4"/>
  <c r="F139" i="4" s="1"/>
  <c r="I131" i="31"/>
  <c r="H131" i="31"/>
  <c r="E132" i="31"/>
  <c r="F132" i="31" s="1"/>
  <c r="B132" i="31"/>
  <c r="G134" i="25"/>
  <c r="D135" i="25"/>
  <c r="E136" i="28"/>
  <c r="F136" i="28" s="1"/>
  <c r="B136" i="28"/>
  <c r="I135" i="28"/>
  <c r="H135" i="28"/>
  <c r="E131" i="37"/>
  <c r="F131" i="37" s="1"/>
  <c r="B131" i="37"/>
  <c r="H130" i="37"/>
  <c r="I130" i="37"/>
  <c r="J130" i="38"/>
  <c r="J131" i="13"/>
  <c r="J156" i="13" s="1"/>
  <c r="J134" i="24"/>
  <c r="I136" i="29"/>
  <c r="H136" i="29"/>
  <c r="G131" i="38"/>
  <c r="D132" i="38"/>
  <c r="H137" i="19"/>
  <c r="I137" i="19"/>
  <c r="G135" i="27"/>
  <c r="D136" i="27"/>
  <c r="E136" i="27" s="1"/>
  <c r="B138" i="19"/>
  <c r="F138" i="19"/>
  <c r="J130" i="34"/>
  <c r="D132" i="34"/>
  <c r="E132" i="34" s="1"/>
  <c r="G131" i="34"/>
  <c r="G135" i="24"/>
  <c r="D136" i="24"/>
  <c r="E136" i="24" s="1"/>
  <c r="D136" i="21"/>
  <c r="E136" i="21" s="1"/>
  <c r="G135" i="21"/>
  <c r="D133" i="13"/>
  <c r="E133" i="13" s="1"/>
  <c r="G132" i="13"/>
  <c r="E137" i="29"/>
  <c r="F137" i="29" s="1"/>
  <c r="F140" i="23"/>
  <c r="B139" i="3"/>
  <c r="F139" i="3"/>
  <c r="H138" i="3"/>
  <c r="I138" i="3"/>
  <c r="H134" i="22"/>
  <c r="I134" i="22"/>
  <c r="I131" i="20"/>
  <c r="H131" i="20"/>
  <c r="B132" i="20"/>
  <c r="F135" i="22"/>
  <c r="B135" i="22"/>
  <c r="E132" i="20"/>
  <c r="F132" i="20" s="1"/>
  <c r="I139" i="23"/>
  <c r="H139" i="23"/>
  <c r="G49" i="34" l="1"/>
  <c r="I49" i="34" s="1"/>
  <c r="G54" i="24"/>
  <c r="I54" i="24" s="1"/>
  <c r="D55" i="24"/>
  <c r="J134" i="26"/>
  <c r="G135" i="26"/>
  <c r="D136" i="26"/>
  <c r="B136" i="26" s="1"/>
  <c r="I55" i="18"/>
  <c r="J137" i="19"/>
  <c r="I53" i="21"/>
  <c r="H49" i="35"/>
  <c r="I49" i="35" s="1"/>
  <c r="G47" i="38"/>
  <c r="I47" i="38" s="1"/>
  <c r="H51" i="25"/>
  <c r="I51" i="25" s="1"/>
  <c r="H48" i="37"/>
  <c r="I48" i="37" s="1"/>
  <c r="G53" i="27"/>
  <c r="I53" i="27" s="1"/>
  <c r="D52" i="13"/>
  <c r="E52" i="13" s="1"/>
  <c r="H51" i="13"/>
  <c r="G51" i="13"/>
  <c r="F53" i="22"/>
  <c r="H53" i="22" s="1"/>
  <c r="B53" i="22"/>
  <c r="B57" i="4"/>
  <c r="F57" i="4"/>
  <c r="D50" i="31"/>
  <c r="E50" i="31"/>
  <c r="D51" i="29"/>
  <c r="E51" i="29" s="1"/>
  <c r="G49" i="31"/>
  <c r="F58" i="3"/>
  <c r="H58" i="3" s="1"/>
  <c r="B58" i="3"/>
  <c r="D50" i="34"/>
  <c r="E50" i="34"/>
  <c r="H50" i="29"/>
  <c r="D54" i="23"/>
  <c r="E54" i="23" s="1"/>
  <c r="D50" i="35"/>
  <c r="E50" i="35" s="1"/>
  <c r="G50" i="29"/>
  <c r="D53" i="26"/>
  <c r="E53" i="26"/>
  <c r="B54" i="21"/>
  <c r="F54" i="21"/>
  <c r="G54" i="21" s="1"/>
  <c r="D54" i="27"/>
  <c r="E54" i="27" s="1"/>
  <c r="G53" i="23"/>
  <c r="I53" i="23" s="1"/>
  <c r="G52" i="26"/>
  <c r="I52" i="26" s="1"/>
  <c r="B56" i="19"/>
  <c r="F56" i="19"/>
  <c r="D48" i="38"/>
  <c r="E48" i="38"/>
  <c r="D54" i="28"/>
  <c r="E54" i="28" s="1"/>
  <c r="F56" i="18"/>
  <c r="H56" i="18" s="1"/>
  <c r="B56" i="18"/>
  <c r="J138" i="4"/>
  <c r="D52" i="25"/>
  <c r="E52" i="25"/>
  <c r="D49" i="37"/>
  <c r="E49" i="37" s="1"/>
  <c r="G53" i="28"/>
  <c r="I53" i="28" s="1"/>
  <c r="H49" i="31"/>
  <c r="D139" i="18"/>
  <c r="B139" i="18" s="1"/>
  <c r="G138" i="18"/>
  <c r="J137" i="18"/>
  <c r="G139" i="4"/>
  <c r="D140" i="4"/>
  <c r="J130" i="37"/>
  <c r="J131" i="35"/>
  <c r="J156" i="35" s="1"/>
  <c r="G132" i="35"/>
  <c r="D133" i="35"/>
  <c r="G136" i="28"/>
  <c r="D137" i="28"/>
  <c r="G131" i="37"/>
  <c r="D132" i="37"/>
  <c r="B135" i="25"/>
  <c r="E135" i="25"/>
  <c r="F135" i="25" s="1"/>
  <c r="H134" i="25"/>
  <c r="I134" i="25"/>
  <c r="D133" i="31"/>
  <c r="E133" i="31" s="1"/>
  <c r="G132" i="31"/>
  <c r="J135" i="28"/>
  <c r="J131" i="31"/>
  <c r="J134" i="22"/>
  <c r="G137" i="29"/>
  <c r="D138" i="29"/>
  <c r="E138" i="29" s="1"/>
  <c r="I131" i="34"/>
  <c r="H131" i="34"/>
  <c r="B132" i="38"/>
  <c r="F132" i="34"/>
  <c r="B132" i="34"/>
  <c r="G138" i="19"/>
  <c r="D139" i="19"/>
  <c r="H131" i="38"/>
  <c r="I131" i="38"/>
  <c r="B133" i="13"/>
  <c r="F133" i="13"/>
  <c r="B136" i="21"/>
  <c r="F136" i="21"/>
  <c r="E132" i="38"/>
  <c r="F132" i="38" s="1"/>
  <c r="I135" i="24"/>
  <c r="H135" i="24"/>
  <c r="H135" i="21"/>
  <c r="I135" i="21"/>
  <c r="F136" i="27"/>
  <c r="B136" i="27"/>
  <c r="I132" i="13"/>
  <c r="H132" i="13"/>
  <c r="F136" i="24"/>
  <c r="B136" i="24"/>
  <c r="H135" i="27"/>
  <c r="I135" i="27"/>
  <c r="G132" i="20"/>
  <c r="D133" i="20"/>
  <c r="E133" i="20" s="1"/>
  <c r="G139" i="3"/>
  <c r="D140" i="3"/>
  <c r="J139" i="23"/>
  <c r="J131" i="20"/>
  <c r="G135" i="22"/>
  <c r="D136" i="22"/>
  <c r="J138" i="3"/>
  <c r="D141" i="23"/>
  <c r="E141" i="23" s="1"/>
  <c r="G140" i="23"/>
  <c r="E55" i="24" l="1"/>
  <c r="F55" i="24" s="1"/>
  <c r="B55" i="24"/>
  <c r="H135" i="26"/>
  <c r="I135" i="26"/>
  <c r="F136" i="26"/>
  <c r="I49" i="31"/>
  <c r="H54" i="21"/>
  <c r="I54" i="21" s="1"/>
  <c r="E139" i="18"/>
  <c r="F139" i="18" s="1"/>
  <c r="G56" i="18"/>
  <c r="I56" i="18" s="1"/>
  <c r="B48" i="38"/>
  <c r="F48" i="38"/>
  <c r="B49" i="37"/>
  <c r="F49" i="37"/>
  <c r="D57" i="19"/>
  <c r="E57" i="19" s="1"/>
  <c r="B54" i="27"/>
  <c r="F54" i="27"/>
  <c r="F50" i="31"/>
  <c r="G50" i="31" s="1"/>
  <c r="B50" i="31"/>
  <c r="J131" i="38"/>
  <c r="J156" i="38" s="1"/>
  <c r="G56" i="19"/>
  <c r="B50" i="35"/>
  <c r="F50" i="35"/>
  <c r="G50" i="35" s="1"/>
  <c r="D59" i="3"/>
  <c r="E59" i="3" s="1"/>
  <c r="D54" i="22"/>
  <c r="E54" i="22" s="1"/>
  <c r="F52" i="25"/>
  <c r="H52" i="25" s="1"/>
  <c r="B52" i="25"/>
  <c r="D55" i="21"/>
  <c r="E55" i="21" s="1"/>
  <c r="G58" i="3"/>
  <c r="I58" i="3" s="1"/>
  <c r="D58" i="4"/>
  <c r="E58" i="4" s="1"/>
  <c r="H56" i="19"/>
  <c r="B54" i="23"/>
  <c r="F54" i="23"/>
  <c r="G54" i="23" s="1"/>
  <c r="I50" i="29"/>
  <c r="H57" i="4"/>
  <c r="I51" i="13"/>
  <c r="B54" i="28"/>
  <c r="F54" i="28"/>
  <c r="G57" i="4"/>
  <c r="D57" i="18"/>
  <c r="E57" i="18" s="1"/>
  <c r="F53" i="26"/>
  <c r="H53" i="26" s="1"/>
  <c r="B53" i="26"/>
  <c r="B50" i="34"/>
  <c r="F50" i="34"/>
  <c r="F51" i="29"/>
  <c r="G53" i="22"/>
  <c r="I53" i="22" s="1"/>
  <c r="B52" i="13"/>
  <c r="F52" i="13"/>
  <c r="G52" i="13" s="1"/>
  <c r="B140" i="4"/>
  <c r="E140" i="4"/>
  <c r="F140" i="4" s="1"/>
  <c r="H139" i="4"/>
  <c r="I139" i="4"/>
  <c r="J135" i="24"/>
  <c r="E133" i="35"/>
  <c r="F133" i="35" s="1"/>
  <c r="B133" i="35"/>
  <c r="H138" i="18"/>
  <c r="I138" i="18"/>
  <c r="H132" i="35"/>
  <c r="I132" i="35"/>
  <c r="G135" i="25"/>
  <c r="D136" i="25"/>
  <c r="B132" i="37"/>
  <c r="H132" i="31"/>
  <c r="I132" i="31"/>
  <c r="E132" i="37"/>
  <c r="F132" i="37" s="1"/>
  <c r="H131" i="37"/>
  <c r="I131" i="37"/>
  <c r="B133" i="31"/>
  <c r="F133" i="31"/>
  <c r="E137" i="28"/>
  <c r="F137" i="28" s="1"/>
  <c r="B137" i="28"/>
  <c r="H136" i="28"/>
  <c r="I136" i="28"/>
  <c r="J131" i="34"/>
  <c r="J156" i="34" s="1"/>
  <c r="J135" i="27"/>
  <c r="D133" i="38"/>
  <c r="E133" i="38" s="1"/>
  <c r="G132" i="38"/>
  <c r="B139" i="19"/>
  <c r="F138" i="29"/>
  <c r="D137" i="27"/>
  <c r="G136" i="27"/>
  <c r="D137" i="21"/>
  <c r="E137" i="21" s="1"/>
  <c r="G136" i="21"/>
  <c r="E139" i="19"/>
  <c r="F139" i="19" s="1"/>
  <c r="H137" i="29"/>
  <c r="I137" i="29"/>
  <c r="H138" i="19"/>
  <c r="I138" i="19"/>
  <c r="G136" i="24"/>
  <c r="D137" i="24"/>
  <c r="E137" i="24" s="1"/>
  <c r="G133" i="13"/>
  <c r="D134" i="13"/>
  <c r="E134" i="13" s="1"/>
  <c r="D133" i="34"/>
  <c r="G132" i="34"/>
  <c r="J135" i="21"/>
  <c r="B140" i="3"/>
  <c r="B133" i="20"/>
  <c r="F133" i="20"/>
  <c r="H132" i="20"/>
  <c r="I132" i="20"/>
  <c r="H139" i="3"/>
  <c r="I139" i="3"/>
  <c r="B136" i="22"/>
  <c r="I135" i="22"/>
  <c r="H135" i="22"/>
  <c r="H140" i="23"/>
  <c r="I140" i="23"/>
  <c r="F141" i="23"/>
  <c r="E140" i="3"/>
  <c r="F140" i="3" s="1"/>
  <c r="E136" i="22"/>
  <c r="F136" i="22" s="1"/>
  <c r="H55" i="24" l="1"/>
  <c r="D56" i="24"/>
  <c r="G55" i="24"/>
  <c r="I55" i="24" s="1"/>
  <c r="J135" i="26"/>
  <c r="D137" i="26"/>
  <c r="G136" i="26"/>
  <c r="G52" i="25"/>
  <c r="I52" i="25" s="1"/>
  <c r="H50" i="31"/>
  <c r="I50" i="31" s="1"/>
  <c r="J132" i="20"/>
  <c r="G53" i="26"/>
  <c r="I53" i="26" s="1"/>
  <c r="H50" i="35"/>
  <c r="I50" i="35" s="1"/>
  <c r="I57" i="4"/>
  <c r="G139" i="18"/>
  <c r="D140" i="18"/>
  <c r="J132" i="31"/>
  <c r="D51" i="34"/>
  <c r="E51" i="34" s="1"/>
  <c r="F58" i="4"/>
  <c r="G58" i="4" s="1"/>
  <c r="B58" i="4"/>
  <c r="D55" i="27"/>
  <c r="E55" i="27" s="1"/>
  <c r="D50" i="37"/>
  <c r="E50" i="37"/>
  <c r="D53" i="13"/>
  <c r="E53" i="13" s="1"/>
  <c r="B57" i="18"/>
  <c r="F57" i="18"/>
  <c r="H52" i="13"/>
  <c r="I52" i="13" s="1"/>
  <c r="H50" i="34"/>
  <c r="G54" i="27"/>
  <c r="G50" i="34"/>
  <c r="D55" i="28"/>
  <c r="E55" i="28" s="1"/>
  <c r="D55" i="23"/>
  <c r="E55" i="23" s="1"/>
  <c r="B55" i="21"/>
  <c r="F55" i="21"/>
  <c r="H55" i="21" s="1"/>
  <c r="F54" i="22"/>
  <c r="H54" i="22" s="1"/>
  <c r="B54" i="22"/>
  <c r="H54" i="27"/>
  <c r="J139" i="4"/>
  <c r="G54" i="28"/>
  <c r="H54" i="23"/>
  <c r="I54" i="23" s="1"/>
  <c r="D49" i="38"/>
  <c r="E49" i="38" s="1"/>
  <c r="D52" i="29"/>
  <c r="E52" i="29" s="1"/>
  <c r="B59" i="3"/>
  <c r="F59" i="3"/>
  <c r="G59" i="3" s="1"/>
  <c r="F57" i="19"/>
  <c r="H57" i="19" s="1"/>
  <c r="B57" i="19"/>
  <c r="H51" i="29"/>
  <c r="H54" i="28"/>
  <c r="I56" i="19"/>
  <c r="H49" i="37"/>
  <c r="G48" i="38"/>
  <c r="G51" i="29"/>
  <c r="D54" i="26"/>
  <c r="E54" i="26" s="1"/>
  <c r="D53" i="25"/>
  <c r="E53" i="25" s="1"/>
  <c r="D51" i="35"/>
  <c r="E51" i="35" s="1"/>
  <c r="D51" i="31"/>
  <c r="E51" i="31" s="1"/>
  <c r="G49" i="37"/>
  <c r="H48" i="38"/>
  <c r="D134" i="35"/>
  <c r="G133" i="35"/>
  <c r="J140" i="23"/>
  <c r="J139" i="3"/>
  <c r="J136" i="28"/>
  <c r="D141" i="4"/>
  <c r="G140" i="4"/>
  <c r="J138" i="18"/>
  <c r="G132" i="37"/>
  <c r="D133" i="37"/>
  <c r="E133" i="37" s="1"/>
  <c r="D138" i="28"/>
  <c r="G137" i="28"/>
  <c r="D134" i="31"/>
  <c r="G133" i="31"/>
  <c r="J138" i="19"/>
  <c r="E136" i="25"/>
  <c r="F136" i="25" s="1"/>
  <c r="B136" i="25"/>
  <c r="J131" i="37"/>
  <c r="J156" i="37" s="1"/>
  <c r="H135" i="25"/>
  <c r="I135" i="25"/>
  <c r="F137" i="24"/>
  <c r="B137" i="24"/>
  <c r="B137" i="27"/>
  <c r="H136" i="27"/>
  <c r="I136" i="27"/>
  <c r="H133" i="13"/>
  <c r="I133" i="13"/>
  <c r="H136" i="24"/>
  <c r="I136" i="24"/>
  <c r="B133" i="34"/>
  <c r="D139" i="29"/>
  <c r="E139" i="29" s="1"/>
  <c r="G138" i="29"/>
  <c r="I136" i="21"/>
  <c r="H136" i="21"/>
  <c r="F134" i="13"/>
  <c r="B134" i="13"/>
  <c r="E133" i="34"/>
  <c r="F133" i="34" s="1"/>
  <c r="B137" i="21"/>
  <c r="F137" i="21"/>
  <c r="H132" i="38"/>
  <c r="I132" i="38"/>
  <c r="G139" i="19"/>
  <c r="D140" i="19"/>
  <c r="H132" i="34"/>
  <c r="I132" i="34"/>
  <c r="E137" i="27"/>
  <c r="F137" i="27" s="1"/>
  <c r="F133" i="38"/>
  <c r="B133" i="38"/>
  <c r="G140" i="3"/>
  <c r="D141" i="3"/>
  <c r="E141" i="3" s="1"/>
  <c r="D142" i="23"/>
  <c r="E142" i="23" s="1"/>
  <c r="G141" i="23"/>
  <c r="G136" i="22"/>
  <c r="D137" i="22"/>
  <c r="E137" i="22" s="1"/>
  <c r="D134" i="20"/>
  <c r="G133" i="20"/>
  <c r="J135" i="22"/>
  <c r="E56" i="24" l="1"/>
  <c r="F56" i="24" s="1"/>
  <c r="G56" i="24" s="1"/>
  <c r="B56" i="24"/>
  <c r="I54" i="28"/>
  <c r="I136" i="26"/>
  <c r="H136" i="26"/>
  <c r="E137" i="26"/>
  <c r="F137" i="26" s="1"/>
  <c r="B137" i="26"/>
  <c r="I51" i="29"/>
  <c r="I54" i="27"/>
  <c r="B140" i="18"/>
  <c r="E140" i="18"/>
  <c r="F140" i="18" s="1"/>
  <c r="H139" i="18"/>
  <c r="I139" i="18"/>
  <c r="I48" i="38"/>
  <c r="D58" i="18"/>
  <c r="E58" i="18" s="1"/>
  <c r="B55" i="27"/>
  <c r="F55" i="27"/>
  <c r="G55" i="27" s="1"/>
  <c r="F54" i="26"/>
  <c r="H54" i="26" s="1"/>
  <c r="B54" i="26"/>
  <c r="B49" i="38"/>
  <c r="F49" i="38"/>
  <c r="G49" i="38" s="1"/>
  <c r="D55" i="22"/>
  <c r="E55" i="22" s="1"/>
  <c r="B55" i="28"/>
  <c r="F55" i="28"/>
  <c r="H55" i="28" s="1"/>
  <c r="H57" i="18"/>
  <c r="B51" i="31"/>
  <c r="F51" i="31"/>
  <c r="D56" i="21"/>
  <c r="E56" i="21" s="1"/>
  <c r="D59" i="4"/>
  <c r="E59" i="4" s="1"/>
  <c r="I49" i="37"/>
  <c r="D58" i="19"/>
  <c r="E58" i="19" s="1"/>
  <c r="G55" i="21"/>
  <c r="I55" i="21" s="1"/>
  <c r="I50" i="34"/>
  <c r="F53" i="13"/>
  <c r="G53" i="13" s="1"/>
  <c r="B53" i="13"/>
  <c r="H58" i="4"/>
  <c r="I58" i="4" s="1"/>
  <c r="F51" i="35"/>
  <c r="B51" i="35"/>
  <c r="G57" i="19"/>
  <c r="I57" i="19" s="1"/>
  <c r="D60" i="3"/>
  <c r="E60" i="3" s="1"/>
  <c r="G54" i="22"/>
  <c r="I54" i="22" s="1"/>
  <c r="B55" i="23"/>
  <c r="F55" i="23"/>
  <c r="G55" i="23" s="1"/>
  <c r="F50" i="37"/>
  <c r="G50" i="37" s="1"/>
  <c r="B50" i="37"/>
  <c r="F51" i="34"/>
  <c r="G51" i="34" s="1"/>
  <c r="B51" i="34"/>
  <c r="F53" i="25"/>
  <c r="G53" i="25" s="1"/>
  <c r="B53" i="25"/>
  <c r="H59" i="3"/>
  <c r="I59" i="3" s="1"/>
  <c r="F52" i="29"/>
  <c r="H52" i="29" s="1"/>
  <c r="G57" i="18"/>
  <c r="H140" i="4"/>
  <c r="I140" i="4"/>
  <c r="B141" i="4"/>
  <c r="E141" i="4"/>
  <c r="F141" i="4" s="1"/>
  <c r="I133" i="35"/>
  <c r="H133" i="35"/>
  <c r="J136" i="24"/>
  <c r="E134" i="35"/>
  <c r="F134" i="35" s="1"/>
  <c r="B134" i="35"/>
  <c r="J136" i="27"/>
  <c r="I133" i="31"/>
  <c r="H133" i="31"/>
  <c r="E134" i="31"/>
  <c r="F134" i="31" s="1"/>
  <c r="B134" i="31"/>
  <c r="H137" i="28"/>
  <c r="I137" i="28"/>
  <c r="E138" i="28"/>
  <c r="F138" i="28" s="1"/>
  <c r="B138" i="28"/>
  <c r="G136" i="25"/>
  <c r="D137" i="25"/>
  <c r="B133" i="37"/>
  <c r="F133" i="37"/>
  <c r="H132" i="37"/>
  <c r="I132" i="37"/>
  <c r="G133" i="34"/>
  <c r="D134" i="34"/>
  <c r="E134" i="34" s="1"/>
  <c r="G137" i="27"/>
  <c r="D138" i="27"/>
  <c r="E138" i="27" s="1"/>
  <c r="H139" i="19"/>
  <c r="I139" i="19"/>
  <c r="J136" i="21"/>
  <c r="G137" i="24"/>
  <c r="D138" i="24"/>
  <c r="E138" i="24" s="1"/>
  <c r="B140" i="19"/>
  <c r="E140" i="19"/>
  <c r="F140" i="19" s="1"/>
  <c r="D138" i="21"/>
  <c r="E138" i="21" s="1"/>
  <c r="G137" i="21"/>
  <c r="H138" i="29"/>
  <c r="I138" i="29"/>
  <c r="G133" i="38"/>
  <c r="D134" i="38"/>
  <c r="F139" i="29"/>
  <c r="D135" i="13"/>
  <c r="E135" i="13" s="1"/>
  <c r="G134" i="13"/>
  <c r="B134" i="20"/>
  <c r="H136" i="22"/>
  <c r="I136" i="22"/>
  <c r="F137" i="22"/>
  <c r="B137" i="22"/>
  <c r="H133" i="20"/>
  <c r="I133" i="20"/>
  <c r="B141" i="3"/>
  <c r="F141" i="3"/>
  <c r="H141" i="23"/>
  <c r="I141" i="23"/>
  <c r="F142" i="23"/>
  <c r="E134" i="20"/>
  <c r="F134" i="20" s="1"/>
  <c r="H140" i="3"/>
  <c r="I140" i="3"/>
  <c r="H49" i="38" l="1"/>
  <c r="I49" i="38" s="1"/>
  <c r="H56" i="24"/>
  <c r="I56" i="24" s="1"/>
  <c r="D57" i="24"/>
  <c r="D138" i="26"/>
  <c r="G137" i="26"/>
  <c r="J136" i="26"/>
  <c r="J140" i="4"/>
  <c r="H53" i="25"/>
  <c r="I53" i="25" s="1"/>
  <c r="H55" i="23"/>
  <c r="I55" i="23" s="1"/>
  <c r="J139" i="18"/>
  <c r="H50" i="37"/>
  <c r="I50" i="37" s="1"/>
  <c r="G54" i="26"/>
  <c r="I54" i="26" s="1"/>
  <c r="D141" i="18"/>
  <c r="G140" i="18"/>
  <c r="D52" i="35"/>
  <c r="E52" i="35" s="1"/>
  <c r="F56" i="21"/>
  <c r="H56" i="21" s="1"/>
  <c r="B56" i="21"/>
  <c r="D52" i="34"/>
  <c r="E52" i="34" s="1"/>
  <c r="H51" i="35"/>
  <c r="I57" i="18"/>
  <c r="D56" i="27"/>
  <c r="E56" i="27" s="1"/>
  <c r="D56" i="28"/>
  <c r="E56" i="28" s="1"/>
  <c r="D50" i="38"/>
  <c r="E50" i="38"/>
  <c r="H55" i="27"/>
  <c r="I55" i="27" s="1"/>
  <c r="F58" i="19"/>
  <c r="B58" i="19"/>
  <c r="D52" i="31"/>
  <c r="E52" i="31" s="1"/>
  <c r="B60" i="3"/>
  <c r="F60" i="3"/>
  <c r="G60" i="3" s="1"/>
  <c r="H51" i="31"/>
  <c r="D54" i="25"/>
  <c r="E54" i="25" s="1"/>
  <c r="D51" i="37"/>
  <c r="E51" i="37" s="1"/>
  <c r="D54" i="13"/>
  <c r="G51" i="31"/>
  <c r="G55" i="28"/>
  <c r="I55" i="28" s="1"/>
  <c r="F58" i="18"/>
  <c r="G58" i="18" s="1"/>
  <c r="B58" i="18"/>
  <c r="D53" i="29"/>
  <c r="E53" i="29" s="1"/>
  <c r="H51" i="34"/>
  <c r="I51" i="34" s="1"/>
  <c r="H53" i="13"/>
  <c r="I53" i="13" s="1"/>
  <c r="B59" i="4"/>
  <c r="F59" i="4"/>
  <c r="H59" i="4" s="1"/>
  <c r="J139" i="19"/>
  <c r="G52" i="29"/>
  <c r="I52" i="29" s="1"/>
  <c r="D56" i="23"/>
  <c r="E56" i="23" s="1"/>
  <c r="G51" i="35"/>
  <c r="B55" i="22"/>
  <c r="F55" i="22"/>
  <c r="D55" i="26"/>
  <c r="E55" i="26" s="1"/>
  <c r="G134" i="35"/>
  <c r="D135" i="35"/>
  <c r="D142" i="4"/>
  <c r="G141" i="4"/>
  <c r="J137" i="28"/>
  <c r="J141" i="23"/>
  <c r="D134" i="37"/>
  <c r="G133" i="37"/>
  <c r="G134" i="31"/>
  <c r="D135" i="31"/>
  <c r="E137" i="25"/>
  <c r="F137" i="25" s="1"/>
  <c r="B137" i="25"/>
  <c r="H136" i="25"/>
  <c r="I136" i="25"/>
  <c r="J133" i="31"/>
  <c r="G138" i="28"/>
  <c r="D139" i="28"/>
  <c r="D141" i="19"/>
  <c r="E141" i="19" s="1"/>
  <c r="G140" i="19"/>
  <c r="H134" i="13"/>
  <c r="I134" i="13"/>
  <c r="B138" i="24"/>
  <c r="F138" i="24"/>
  <c r="J136" i="22"/>
  <c r="B135" i="13"/>
  <c r="F135" i="13"/>
  <c r="I137" i="24"/>
  <c r="H137" i="24"/>
  <c r="F138" i="27"/>
  <c r="B138" i="27"/>
  <c r="G139" i="29"/>
  <c r="D140" i="29"/>
  <c r="E140" i="29" s="1"/>
  <c r="J133" i="20"/>
  <c r="B134" i="38"/>
  <c r="H137" i="27"/>
  <c r="I137" i="27"/>
  <c r="H133" i="38"/>
  <c r="I133" i="38"/>
  <c r="E134" i="38"/>
  <c r="F134" i="38" s="1"/>
  <c r="H137" i="21"/>
  <c r="I137" i="21"/>
  <c r="B134" i="34"/>
  <c r="F134" i="34"/>
  <c r="B138" i="21"/>
  <c r="F138" i="21"/>
  <c r="H133" i="34"/>
  <c r="I133" i="34"/>
  <c r="G134" i="20"/>
  <c r="D135" i="20"/>
  <c r="E135" i="20" s="1"/>
  <c r="D143" i="23"/>
  <c r="E143" i="23" s="1"/>
  <c r="G142" i="23"/>
  <c r="G141" i="3"/>
  <c r="D142" i="3"/>
  <c r="J140" i="3"/>
  <c r="D138" i="22"/>
  <c r="E138" i="22" s="1"/>
  <c r="G137" i="22"/>
  <c r="G59" i="4" l="1"/>
  <c r="I59" i="4" s="1"/>
  <c r="E57" i="24"/>
  <c r="F57" i="24" s="1"/>
  <c r="B57" i="24"/>
  <c r="I137" i="26"/>
  <c r="H137" i="26"/>
  <c r="E138" i="26"/>
  <c r="F138" i="26" s="1"/>
  <c r="B138" i="26"/>
  <c r="H58" i="18"/>
  <c r="I58" i="18" s="1"/>
  <c r="G56" i="21"/>
  <c r="I56" i="21" s="1"/>
  <c r="I51" i="31"/>
  <c r="H60" i="3"/>
  <c r="I60" i="3" s="1"/>
  <c r="I140" i="18"/>
  <c r="H140" i="18"/>
  <c r="E141" i="18"/>
  <c r="F141" i="18" s="1"/>
  <c r="B141" i="18"/>
  <c r="D56" i="22"/>
  <c r="E56" i="22" s="1"/>
  <c r="F53" i="29"/>
  <c r="H53" i="29" s="1"/>
  <c r="B54" i="13"/>
  <c r="D59" i="19"/>
  <c r="E59" i="19" s="1"/>
  <c r="F52" i="34"/>
  <c r="G52" i="34" s="1"/>
  <c r="B52" i="34"/>
  <c r="G55" i="22"/>
  <c r="F51" i="37"/>
  <c r="H51" i="37" s="1"/>
  <c r="B51" i="37"/>
  <c r="H55" i="22"/>
  <c r="D60" i="4"/>
  <c r="E60" i="4" s="1"/>
  <c r="F50" i="38"/>
  <c r="G50" i="38" s="1"/>
  <c r="B50" i="38"/>
  <c r="D59" i="18"/>
  <c r="B54" i="25"/>
  <c r="F54" i="25"/>
  <c r="F52" i="31"/>
  <c r="G52" i="31" s="1"/>
  <c r="B52" i="31"/>
  <c r="F56" i="27"/>
  <c r="G56" i="27" s="1"/>
  <c r="B56" i="27"/>
  <c r="D57" i="21"/>
  <c r="E57" i="21" s="1"/>
  <c r="B56" i="23"/>
  <c r="F56" i="23"/>
  <c r="G56" i="23" s="1"/>
  <c r="F56" i="28"/>
  <c r="G56" i="28" s="1"/>
  <c r="B56" i="28"/>
  <c r="G58" i="19"/>
  <c r="I51" i="35"/>
  <c r="F52" i="35"/>
  <c r="G52" i="35" s="1"/>
  <c r="B52" i="35"/>
  <c r="F55" i="26"/>
  <c r="B55" i="26"/>
  <c r="E54" i="13"/>
  <c r="F54" i="13" s="1"/>
  <c r="D61" i="3"/>
  <c r="E61" i="3" s="1"/>
  <c r="H58" i="19"/>
  <c r="I141" i="4"/>
  <c r="H141" i="4"/>
  <c r="B142" i="4"/>
  <c r="E142" i="4"/>
  <c r="F142" i="4" s="1"/>
  <c r="E135" i="35"/>
  <c r="F135" i="35" s="1"/>
  <c r="B135" i="35"/>
  <c r="H134" i="35"/>
  <c r="I134" i="35"/>
  <c r="G137" i="25"/>
  <c r="D138" i="25"/>
  <c r="E139" i="28"/>
  <c r="F139" i="28" s="1"/>
  <c r="B139" i="28"/>
  <c r="E135" i="31"/>
  <c r="F135" i="31" s="1"/>
  <c r="B135" i="31"/>
  <c r="H138" i="28"/>
  <c r="I138" i="28"/>
  <c r="H134" i="31"/>
  <c r="I134" i="31"/>
  <c r="H133" i="37"/>
  <c r="I133" i="37"/>
  <c r="E134" i="37"/>
  <c r="F134" i="37" s="1"/>
  <c r="B134" i="37"/>
  <c r="D135" i="34"/>
  <c r="E135" i="34" s="1"/>
  <c r="G134" i="34"/>
  <c r="D139" i="27"/>
  <c r="E139" i="27" s="1"/>
  <c r="G138" i="27"/>
  <c r="D136" i="13"/>
  <c r="E136" i="13" s="1"/>
  <c r="G135" i="13"/>
  <c r="G138" i="21"/>
  <c r="D139" i="21"/>
  <c r="E139" i="21" s="1"/>
  <c r="G134" i="38"/>
  <c r="D135" i="38"/>
  <c r="E135" i="38" s="1"/>
  <c r="H140" i="19"/>
  <c r="I140" i="19"/>
  <c r="J137" i="24"/>
  <c r="D139" i="24"/>
  <c r="E139" i="24" s="1"/>
  <c r="G138" i="24"/>
  <c r="H139" i="29"/>
  <c r="I139" i="29"/>
  <c r="J137" i="21"/>
  <c r="J137" i="27"/>
  <c r="F140" i="29"/>
  <c r="B141" i="19"/>
  <c r="F141" i="19"/>
  <c r="B135" i="20"/>
  <c r="F135" i="20"/>
  <c r="I141" i="3"/>
  <c r="H141" i="3"/>
  <c r="H142" i="23"/>
  <c r="I142" i="23"/>
  <c r="H134" i="20"/>
  <c r="I134" i="20"/>
  <c r="B142" i="3"/>
  <c r="E142" i="3"/>
  <c r="F142" i="3" s="1"/>
  <c r="F143" i="23"/>
  <c r="H137" i="22"/>
  <c r="I137" i="22"/>
  <c r="B138" i="22"/>
  <c r="F138" i="22"/>
  <c r="H57" i="24" l="1"/>
  <c r="D58" i="24"/>
  <c r="G57" i="24"/>
  <c r="J137" i="26"/>
  <c r="G138" i="26"/>
  <c r="D139" i="26"/>
  <c r="B139" i="26" s="1"/>
  <c r="G53" i="29"/>
  <c r="I53" i="29" s="1"/>
  <c r="H50" i="38"/>
  <c r="I50" i="38" s="1"/>
  <c r="J138" i="28"/>
  <c r="J134" i="31"/>
  <c r="H56" i="23"/>
  <c r="I56" i="23" s="1"/>
  <c r="H56" i="28"/>
  <c r="I56" i="28" s="1"/>
  <c r="H56" i="27"/>
  <c r="I56" i="27" s="1"/>
  <c r="G141" i="18"/>
  <c r="D142" i="18"/>
  <c r="J140" i="18"/>
  <c r="H52" i="34"/>
  <c r="I52" i="34" s="1"/>
  <c r="H52" i="35"/>
  <c r="I52" i="35" s="1"/>
  <c r="D55" i="13"/>
  <c r="H54" i="13"/>
  <c r="G54" i="13"/>
  <c r="D56" i="26"/>
  <c r="E56" i="26" s="1"/>
  <c r="B59" i="18"/>
  <c r="G55" i="26"/>
  <c r="I58" i="19"/>
  <c r="B57" i="21"/>
  <c r="F57" i="21"/>
  <c r="G57" i="21" s="1"/>
  <c r="D53" i="31"/>
  <c r="E53" i="31" s="1"/>
  <c r="D52" i="37"/>
  <c r="E52" i="37" s="1"/>
  <c r="D55" i="25"/>
  <c r="E55" i="25" s="1"/>
  <c r="G51" i="37"/>
  <c r="I51" i="37" s="1"/>
  <c r="J134" i="20"/>
  <c r="B61" i="3"/>
  <c r="F61" i="3"/>
  <c r="D57" i="28"/>
  <c r="E57" i="28" s="1"/>
  <c r="H54" i="25"/>
  <c r="D51" i="38"/>
  <c r="E51" i="38" s="1"/>
  <c r="D53" i="34"/>
  <c r="E53" i="34" s="1"/>
  <c r="D53" i="35"/>
  <c r="E53" i="35" s="1"/>
  <c r="D54" i="29"/>
  <c r="E54" i="29" s="1"/>
  <c r="D57" i="27"/>
  <c r="E57" i="27" s="1"/>
  <c r="G54" i="25"/>
  <c r="F60" i="4"/>
  <c r="H60" i="4" s="1"/>
  <c r="B60" i="4"/>
  <c r="B59" i="19"/>
  <c r="F59" i="19"/>
  <c r="H59" i="19" s="1"/>
  <c r="J137" i="22"/>
  <c r="H55" i="26"/>
  <c r="D57" i="23"/>
  <c r="E57" i="23" s="1"/>
  <c r="H52" i="31"/>
  <c r="I52" i="31" s="1"/>
  <c r="E59" i="18"/>
  <c r="F59" i="18" s="1"/>
  <c r="I55" i="22"/>
  <c r="B56" i="22"/>
  <c r="F56" i="22"/>
  <c r="H56" i="22" s="1"/>
  <c r="D136" i="35"/>
  <c r="E136" i="35" s="1"/>
  <c r="G135" i="35"/>
  <c r="D143" i="4"/>
  <c r="G142" i="4"/>
  <c r="J142" i="23"/>
  <c r="J141" i="4"/>
  <c r="D135" i="37"/>
  <c r="G134" i="37"/>
  <c r="D136" i="31"/>
  <c r="G135" i="31"/>
  <c r="G139" i="28"/>
  <c r="D140" i="28"/>
  <c r="E138" i="25"/>
  <c r="F138" i="25" s="1"/>
  <c r="B138" i="25"/>
  <c r="H137" i="25"/>
  <c r="I137" i="25"/>
  <c r="J140" i="19"/>
  <c r="H134" i="38"/>
  <c r="I134" i="38"/>
  <c r="F136" i="13"/>
  <c r="B136" i="13"/>
  <c r="H134" i="34"/>
  <c r="I134" i="34"/>
  <c r="B135" i="34"/>
  <c r="F135" i="34"/>
  <c r="D142" i="19"/>
  <c r="E142" i="19" s="1"/>
  <c r="G141" i="19"/>
  <c r="G140" i="29"/>
  <c r="D141" i="29"/>
  <c r="E141" i="29" s="1"/>
  <c r="B139" i="21"/>
  <c r="F139" i="21"/>
  <c r="H138" i="24"/>
  <c r="I138" i="24"/>
  <c r="I138" i="21"/>
  <c r="H138" i="21"/>
  <c r="F139" i="27"/>
  <c r="B139" i="27"/>
  <c r="B139" i="24"/>
  <c r="F139" i="24"/>
  <c r="B135" i="38"/>
  <c r="F135" i="38"/>
  <c r="H135" i="13"/>
  <c r="I135" i="13"/>
  <c r="I138" i="27"/>
  <c r="H138" i="27"/>
  <c r="J141" i="3"/>
  <c r="G142" i="3"/>
  <c r="D143" i="3"/>
  <c r="G135" i="20"/>
  <c r="D136" i="20"/>
  <c r="E136" i="20" s="1"/>
  <c r="G143" i="23"/>
  <c r="D144" i="23"/>
  <c r="E144" i="23" s="1"/>
  <c r="G138" i="22"/>
  <c r="D139" i="22"/>
  <c r="I57" i="24" l="1"/>
  <c r="E58" i="24"/>
  <c r="F58" i="24" s="1"/>
  <c r="G58" i="24" s="1"/>
  <c r="B58" i="24"/>
  <c r="E139" i="26"/>
  <c r="F139" i="26" s="1"/>
  <c r="H138" i="26"/>
  <c r="I138" i="26"/>
  <c r="H57" i="21"/>
  <c r="I57" i="21" s="1"/>
  <c r="G59" i="19"/>
  <c r="I59" i="19" s="1"/>
  <c r="E142" i="18"/>
  <c r="F142" i="18" s="1"/>
  <c r="B142" i="18"/>
  <c r="I55" i="26"/>
  <c r="H141" i="18"/>
  <c r="I141" i="18"/>
  <c r="D60" i="18"/>
  <c r="E60" i="18" s="1"/>
  <c r="H59" i="18"/>
  <c r="G59" i="18"/>
  <c r="F54" i="29"/>
  <c r="B57" i="28"/>
  <c r="F57" i="28"/>
  <c r="B55" i="25"/>
  <c r="F55" i="25"/>
  <c r="D57" i="22"/>
  <c r="E57" i="22" s="1"/>
  <c r="D62" i="3"/>
  <c r="D61" i="4"/>
  <c r="E61" i="4" s="1"/>
  <c r="G61" i="3"/>
  <c r="B52" i="37"/>
  <c r="F52" i="37"/>
  <c r="H52" i="37" s="1"/>
  <c r="F56" i="26"/>
  <c r="G56" i="26" s="1"/>
  <c r="B56" i="26"/>
  <c r="B53" i="35"/>
  <c r="F53" i="35"/>
  <c r="H53" i="35" s="1"/>
  <c r="H61" i="3"/>
  <c r="D60" i="19"/>
  <c r="E60" i="19" s="1"/>
  <c r="F57" i="27"/>
  <c r="H57" i="27" s="1"/>
  <c r="B57" i="27"/>
  <c r="F51" i="38"/>
  <c r="G51" i="38" s="1"/>
  <c r="B51" i="38"/>
  <c r="F53" i="31"/>
  <c r="G53" i="31" s="1"/>
  <c r="B53" i="31"/>
  <c r="I54" i="13"/>
  <c r="I54" i="25"/>
  <c r="B55" i="13"/>
  <c r="G56" i="22"/>
  <c r="I56" i="22" s="1"/>
  <c r="F57" i="23"/>
  <c r="B57" i="23"/>
  <c r="G60" i="4"/>
  <c r="I60" i="4" s="1"/>
  <c r="F53" i="34"/>
  <c r="G53" i="34" s="1"/>
  <c r="B53" i="34"/>
  <c r="D58" i="21"/>
  <c r="E55" i="13"/>
  <c r="F55" i="13" s="1"/>
  <c r="B143" i="4"/>
  <c r="E143" i="4"/>
  <c r="F143" i="4" s="1"/>
  <c r="I135" i="35"/>
  <c r="H135" i="35"/>
  <c r="I142" i="4"/>
  <c r="H142" i="4"/>
  <c r="F136" i="35"/>
  <c r="B136" i="35"/>
  <c r="E140" i="28"/>
  <c r="F140" i="28" s="1"/>
  <c r="B140" i="28"/>
  <c r="H139" i="28"/>
  <c r="I139" i="28"/>
  <c r="I135" i="31"/>
  <c r="H135" i="31"/>
  <c r="G138" i="25"/>
  <c r="D139" i="25"/>
  <c r="E139" i="25" s="1"/>
  <c r="E136" i="31"/>
  <c r="F136" i="31" s="1"/>
  <c r="B136" i="31"/>
  <c r="J138" i="24"/>
  <c r="H134" i="37"/>
  <c r="I134" i="37"/>
  <c r="E135" i="37"/>
  <c r="F135" i="37" s="1"/>
  <c r="B135" i="37"/>
  <c r="J138" i="21"/>
  <c r="J138" i="27"/>
  <c r="F141" i="29"/>
  <c r="D136" i="34"/>
  <c r="E136" i="34" s="1"/>
  <c r="G135" i="34"/>
  <c r="G135" i="38"/>
  <c r="D136" i="38"/>
  <c r="E136" i="38" s="1"/>
  <c r="I140" i="29"/>
  <c r="H140" i="29"/>
  <c r="D137" i="13"/>
  <c r="G136" i="13"/>
  <c r="G139" i="21"/>
  <c r="D140" i="21"/>
  <c r="E140" i="21" s="1"/>
  <c r="H141" i="19"/>
  <c r="I141" i="19"/>
  <c r="D140" i="24"/>
  <c r="E140" i="24" s="1"/>
  <c r="G139" i="24"/>
  <c r="G139" i="27"/>
  <c r="D140" i="27"/>
  <c r="E140" i="27" s="1"/>
  <c r="F142" i="19"/>
  <c r="B142" i="19"/>
  <c r="H142" i="3"/>
  <c r="I142" i="3"/>
  <c r="F136" i="20"/>
  <c r="B136" i="20"/>
  <c r="F144" i="23"/>
  <c r="B139" i="22"/>
  <c r="I135" i="20"/>
  <c r="H135" i="20"/>
  <c r="H143" i="23"/>
  <c r="I143" i="23"/>
  <c r="H138" i="22"/>
  <c r="I138" i="22"/>
  <c r="B143" i="3"/>
  <c r="E139" i="22"/>
  <c r="F139" i="22" s="1"/>
  <c r="E143" i="3"/>
  <c r="F143" i="3" s="1"/>
  <c r="J138" i="26" l="1"/>
  <c r="H58" i="24"/>
  <c r="I58" i="24" s="1"/>
  <c r="D59" i="24"/>
  <c r="G139" i="26"/>
  <c r="D140" i="26"/>
  <c r="J139" i="28"/>
  <c r="G53" i="35"/>
  <c r="I53" i="35" s="1"/>
  <c r="H53" i="31"/>
  <c r="I53" i="31" s="1"/>
  <c r="H51" i="38"/>
  <c r="I51" i="38" s="1"/>
  <c r="I61" i="3"/>
  <c r="J141" i="18"/>
  <c r="H56" i="26"/>
  <c r="I56" i="26" s="1"/>
  <c r="G142" i="18"/>
  <c r="D143" i="18"/>
  <c r="G52" i="37"/>
  <c r="I52" i="37" s="1"/>
  <c r="D56" i="13"/>
  <c r="G55" i="13"/>
  <c r="H55" i="13"/>
  <c r="B58" i="21"/>
  <c r="D58" i="23"/>
  <c r="B62" i="3"/>
  <c r="D58" i="28"/>
  <c r="E58" i="28" s="1"/>
  <c r="H57" i="23"/>
  <c r="D54" i="35"/>
  <c r="E54" i="35" s="1"/>
  <c r="I59" i="18"/>
  <c r="D54" i="34"/>
  <c r="E54" i="34" s="1"/>
  <c r="D53" i="37"/>
  <c r="E53" i="37" s="1"/>
  <c r="H57" i="28"/>
  <c r="D58" i="27"/>
  <c r="E58" i="27" s="1"/>
  <c r="F57" i="22"/>
  <c r="B57" i="22"/>
  <c r="G57" i="28"/>
  <c r="B60" i="18"/>
  <c r="F60" i="18"/>
  <c r="H60" i="18" s="1"/>
  <c r="H53" i="34"/>
  <c r="I53" i="34" s="1"/>
  <c r="D54" i="31"/>
  <c r="E54" i="31" s="1"/>
  <c r="G57" i="27"/>
  <c r="I57" i="27" s="1"/>
  <c r="D56" i="25"/>
  <c r="E56" i="25" s="1"/>
  <c r="D55" i="29"/>
  <c r="E55" i="29" s="1"/>
  <c r="H55" i="25"/>
  <c r="G54" i="29"/>
  <c r="F60" i="19"/>
  <c r="H60" i="19" s="1"/>
  <c r="B60" i="19"/>
  <c r="D57" i="26"/>
  <c r="E57" i="26" s="1"/>
  <c r="F61" i="4"/>
  <c r="H61" i="4" s="1"/>
  <c r="B61" i="4"/>
  <c r="G55" i="25"/>
  <c r="H54" i="29"/>
  <c r="E58" i="21"/>
  <c r="F58" i="21" s="1"/>
  <c r="G57" i="23"/>
  <c r="D52" i="38"/>
  <c r="E52" i="38" s="1"/>
  <c r="E62" i="3"/>
  <c r="F62" i="3" s="1"/>
  <c r="D137" i="35"/>
  <c r="G136" i="35"/>
  <c r="J142" i="4"/>
  <c r="J142" i="3"/>
  <c r="G143" i="4"/>
  <c r="D144" i="4"/>
  <c r="G135" i="37"/>
  <c r="D136" i="37"/>
  <c r="B136" i="37" s="1"/>
  <c r="J135" i="31"/>
  <c r="J141" i="19"/>
  <c r="G136" i="31"/>
  <c r="D137" i="31"/>
  <c r="G140" i="28"/>
  <c r="D141" i="28"/>
  <c r="B139" i="25"/>
  <c r="F139" i="25"/>
  <c r="I138" i="25"/>
  <c r="H138" i="25"/>
  <c r="B137" i="13"/>
  <c r="F136" i="38"/>
  <c r="B136" i="38"/>
  <c r="E137" i="13"/>
  <c r="F137" i="13" s="1"/>
  <c r="H135" i="38"/>
  <c r="I135" i="38"/>
  <c r="H136" i="13"/>
  <c r="I136" i="13"/>
  <c r="H135" i="34"/>
  <c r="I135" i="34"/>
  <c r="I139" i="27"/>
  <c r="H139" i="27"/>
  <c r="G142" i="19"/>
  <c r="D143" i="19"/>
  <c r="E143" i="19" s="1"/>
  <c r="I139" i="24"/>
  <c r="H139" i="24"/>
  <c r="B136" i="34"/>
  <c r="F136" i="34"/>
  <c r="F140" i="24"/>
  <c r="B140" i="24"/>
  <c r="B140" i="21"/>
  <c r="F140" i="21"/>
  <c r="G141" i="29"/>
  <c r="D142" i="29"/>
  <c r="F140" i="27"/>
  <c r="B140" i="27"/>
  <c r="I139" i="21"/>
  <c r="H139" i="21"/>
  <c r="D144" i="3"/>
  <c r="E144" i="3" s="1"/>
  <c r="G143" i="3"/>
  <c r="G139" i="22"/>
  <c r="D140" i="22"/>
  <c r="E140" i="22" s="1"/>
  <c r="D137" i="20"/>
  <c r="E137" i="20" s="1"/>
  <c r="G136" i="20"/>
  <c r="J135" i="20"/>
  <c r="J138" i="22"/>
  <c r="J143" i="23"/>
  <c r="G144" i="23"/>
  <c r="D145" i="23"/>
  <c r="E145" i="23" s="1"/>
  <c r="G60" i="18" l="1"/>
  <c r="E59" i="24"/>
  <c r="F59" i="24" s="1"/>
  <c r="B59" i="24"/>
  <c r="E140" i="26"/>
  <c r="F140" i="26" s="1"/>
  <c r="B140" i="26"/>
  <c r="H139" i="26"/>
  <c r="I139" i="26"/>
  <c r="G61" i="4"/>
  <c r="I61" i="4" s="1"/>
  <c r="I55" i="13"/>
  <c r="I54" i="29"/>
  <c r="I57" i="28"/>
  <c r="G60" i="19"/>
  <c r="I60" i="19" s="1"/>
  <c r="I60" i="18"/>
  <c r="E143" i="18"/>
  <c r="F143" i="18" s="1"/>
  <c r="B143" i="18"/>
  <c r="I142" i="18"/>
  <c r="H142" i="18"/>
  <c r="I55" i="25"/>
  <c r="D63" i="3"/>
  <c r="E63" i="3" s="1"/>
  <c r="G62" i="3"/>
  <c r="H62" i="3"/>
  <c r="D59" i="21"/>
  <c r="E59" i="21" s="1"/>
  <c r="G58" i="21"/>
  <c r="H58" i="21"/>
  <c r="B54" i="34"/>
  <c r="F54" i="34"/>
  <c r="H54" i="34" s="1"/>
  <c r="B57" i="26"/>
  <c r="F57" i="26"/>
  <c r="D58" i="22"/>
  <c r="E58" i="22" s="1"/>
  <c r="F55" i="29"/>
  <c r="H55" i="29" s="1"/>
  <c r="D61" i="18"/>
  <c r="B58" i="27"/>
  <c r="F58" i="27"/>
  <c r="H58" i="27" s="1"/>
  <c r="F56" i="25"/>
  <c r="H56" i="25" s="1"/>
  <c r="B56" i="25"/>
  <c r="B54" i="35"/>
  <c r="F54" i="35"/>
  <c r="G54" i="35" s="1"/>
  <c r="D61" i="19"/>
  <c r="E61" i="19" s="1"/>
  <c r="I57" i="23"/>
  <c r="B58" i="23"/>
  <c r="G57" i="22"/>
  <c r="F53" i="37"/>
  <c r="G53" i="37" s="1"/>
  <c r="B53" i="37"/>
  <c r="E58" i="23"/>
  <c r="F58" i="23" s="1"/>
  <c r="B56" i="13"/>
  <c r="F52" i="38"/>
  <c r="H52" i="38" s="1"/>
  <c r="B52" i="38"/>
  <c r="D62" i="4"/>
  <c r="E62" i="4" s="1"/>
  <c r="F54" i="31"/>
  <c r="G54" i="31" s="1"/>
  <c r="B54" i="31"/>
  <c r="H57" i="22"/>
  <c r="B58" i="28"/>
  <c r="F58" i="28"/>
  <c r="G58" i="28" s="1"/>
  <c r="E56" i="13"/>
  <c r="F56" i="13" s="1"/>
  <c r="I143" i="4"/>
  <c r="H143" i="4"/>
  <c r="H136" i="35"/>
  <c r="I136" i="35"/>
  <c r="E144" i="4"/>
  <c r="F144" i="4" s="1"/>
  <c r="B144" i="4"/>
  <c r="E136" i="37"/>
  <c r="F136" i="37" s="1"/>
  <c r="E137" i="35"/>
  <c r="F137" i="35" s="1"/>
  <c r="B137" i="35"/>
  <c r="H140" i="28"/>
  <c r="I140" i="28"/>
  <c r="E137" i="31"/>
  <c r="F137" i="31" s="1"/>
  <c r="B137" i="31"/>
  <c r="H136" i="31"/>
  <c r="I136" i="31"/>
  <c r="D140" i="25"/>
  <c r="G139" i="25"/>
  <c r="E141" i="28"/>
  <c r="F141" i="28" s="1"/>
  <c r="B141" i="28"/>
  <c r="H135" i="37"/>
  <c r="I135" i="37"/>
  <c r="J139" i="27"/>
  <c r="J139" i="24"/>
  <c r="J139" i="21"/>
  <c r="I141" i="29"/>
  <c r="H141" i="29"/>
  <c r="D138" i="13"/>
  <c r="E138" i="13" s="1"/>
  <c r="G137" i="13"/>
  <c r="G140" i="27"/>
  <c r="D141" i="27"/>
  <c r="E141" i="27" s="1"/>
  <c r="D137" i="34"/>
  <c r="G136" i="34"/>
  <c r="I142" i="19"/>
  <c r="H142" i="19"/>
  <c r="G140" i="21"/>
  <c r="D141" i="21"/>
  <c r="E141" i="21" s="1"/>
  <c r="E142" i="29"/>
  <c r="F142" i="29" s="1"/>
  <c r="G140" i="24"/>
  <c r="D141" i="24"/>
  <c r="E141" i="24" s="1"/>
  <c r="F143" i="19"/>
  <c r="B143" i="19"/>
  <c r="G136" i="38"/>
  <c r="D137" i="38"/>
  <c r="E137" i="38" s="1"/>
  <c r="I136" i="20"/>
  <c r="H136" i="20"/>
  <c r="I139" i="22"/>
  <c r="H139" i="22"/>
  <c r="H144" i="23"/>
  <c r="I144" i="23"/>
  <c r="F145" i="23"/>
  <c r="F137" i="20"/>
  <c r="B137" i="20"/>
  <c r="H143" i="3"/>
  <c r="I143" i="3"/>
  <c r="F140" i="22"/>
  <c r="B140" i="22"/>
  <c r="B144" i="3"/>
  <c r="F144" i="3"/>
  <c r="G54" i="34" l="1"/>
  <c r="I54" i="34" s="1"/>
  <c r="D60" i="24"/>
  <c r="E60" i="24" s="1"/>
  <c r="F60" i="24" s="1"/>
  <c r="D61" i="24" s="1"/>
  <c r="H59" i="24"/>
  <c r="G59" i="24"/>
  <c r="D141" i="26"/>
  <c r="G140" i="26"/>
  <c r="J139" i="26"/>
  <c r="J136" i="31"/>
  <c r="J140" i="28"/>
  <c r="H54" i="35"/>
  <c r="I62" i="3"/>
  <c r="G143" i="18"/>
  <c r="D144" i="18"/>
  <c r="B144" i="18" s="1"/>
  <c r="H58" i="23"/>
  <c r="G58" i="23"/>
  <c r="J142" i="18"/>
  <c r="D57" i="13"/>
  <c r="E57" i="13" s="1"/>
  <c r="H56" i="13"/>
  <c r="G56" i="13"/>
  <c r="B61" i="18"/>
  <c r="D58" i="26"/>
  <c r="E58" i="26" s="1"/>
  <c r="I58" i="21"/>
  <c r="D53" i="38"/>
  <c r="E53" i="38" s="1"/>
  <c r="D57" i="25"/>
  <c r="D55" i="31"/>
  <c r="E55" i="31" s="1"/>
  <c r="D54" i="37"/>
  <c r="E54" i="37" s="1"/>
  <c r="F61" i="19"/>
  <c r="G61" i="19" s="1"/>
  <c r="B61" i="19"/>
  <c r="G56" i="25"/>
  <c r="I56" i="25" s="1"/>
  <c r="D56" i="29"/>
  <c r="E56" i="29" s="1"/>
  <c r="H57" i="26"/>
  <c r="H54" i="31"/>
  <c r="I54" i="31" s="1"/>
  <c r="G55" i="29"/>
  <c r="I55" i="29" s="1"/>
  <c r="G57" i="26"/>
  <c r="F59" i="21"/>
  <c r="H59" i="21" s="1"/>
  <c r="B59" i="21"/>
  <c r="D59" i="28"/>
  <c r="E59" i="28" s="1"/>
  <c r="I54" i="35"/>
  <c r="D59" i="27"/>
  <c r="E59" i="27" s="1"/>
  <c r="B62" i="4"/>
  <c r="F62" i="4"/>
  <c r="D55" i="35"/>
  <c r="E55" i="35" s="1"/>
  <c r="G58" i="27"/>
  <c r="I58" i="27" s="1"/>
  <c r="H58" i="28"/>
  <c r="I58" i="28" s="1"/>
  <c r="D55" i="34"/>
  <c r="E55" i="34" s="1"/>
  <c r="I57" i="22"/>
  <c r="G52" i="38"/>
  <c r="I52" i="38" s="1"/>
  <c r="H53" i="37"/>
  <c r="I53" i="37" s="1"/>
  <c r="D59" i="23"/>
  <c r="E59" i="23" s="1"/>
  <c r="E61" i="18"/>
  <c r="F61" i="18" s="1"/>
  <c r="B58" i="22"/>
  <c r="F58" i="22"/>
  <c r="G58" i="22" s="1"/>
  <c r="B63" i="3"/>
  <c r="F63" i="3"/>
  <c r="G63" i="3" s="1"/>
  <c r="G144" i="4"/>
  <c r="D145" i="4"/>
  <c r="D137" i="37"/>
  <c r="G136" i="37"/>
  <c r="G137" i="35"/>
  <c r="D138" i="35"/>
  <c r="E138" i="35" s="1"/>
  <c r="J143" i="4"/>
  <c r="E140" i="25"/>
  <c r="F140" i="25" s="1"/>
  <c r="B140" i="25"/>
  <c r="G137" i="31"/>
  <c r="D138" i="31"/>
  <c r="E138" i="31" s="1"/>
  <c r="D142" i="28"/>
  <c r="G141" i="28"/>
  <c r="I139" i="25"/>
  <c r="H139" i="25"/>
  <c r="G142" i="29"/>
  <c r="D143" i="29"/>
  <c r="E143" i="29" s="1"/>
  <c r="B137" i="34"/>
  <c r="H137" i="13"/>
  <c r="I137" i="13"/>
  <c r="H136" i="38"/>
  <c r="I136" i="38"/>
  <c r="F141" i="21"/>
  <c r="B141" i="21"/>
  <c r="B141" i="27"/>
  <c r="F141" i="27"/>
  <c r="F138" i="13"/>
  <c r="B138" i="13"/>
  <c r="I140" i="21"/>
  <c r="H140" i="21"/>
  <c r="H140" i="27"/>
  <c r="I140" i="27"/>
  <c r="B137" i="38"/>
  <c r="F137" i="38"/>
  <c r="G143" i="19"/>
  <c r="D144" i="19"/>
  <c r="E144" i="19" s="1"/>
  <c r="J143" i="3"/>
  <c r="J142" i="19"/>
  <c r="B141" i="24"/>
  <c r="F141" i="24"/>
  <c r="E137" i="34"/>
  <c r="F137" i="34" s="1"/>
  <c r="J144" i="23"/>
  <c r="I140" i="24"/>
  <c r="H140" i="24"/>
  <c r="H136" i="34"/>
  <c r="I136" i="34"/>
  <c r="J139" i="22"/>
  <c r="G140" i="22"/>
  <c r="D141" i="22"/>
  <c r="E141" i="22" s="1"/>
  <c r="J136" i="20"/>
  <c r="G137" i="20"/>
  <c r="D138" i="20"/>
  <c r="E138" i="20" s="1"/>
  <c r="G144" i="3"/>
  <c r="D145" i="3"/>
  <c r="E145" i="3" s="1"/>
  <c r="G145" i="23"/>
  <c r="D146" i="23"/>
  <c r="E146" i="23" s="1"/>
  <c r="I59" i="24" l="1"/>
  <c r="E61" i="24"/>
  <c r="F61" i="24" s="1"/>
  <c r="B61" i="24"/>
  <c r="B60" i="24"/>
  <c r="G60" i="24"/>
  <c r="H60" i="24"/>
  <c r="I60" i="24" s="1"/>
  <c r="H140" i="26"/>
  <c r="I140" i="26"/>
  <c r="E141" i="26"/>
  <c r="F141" i="26" s="1"/>
  <c r="B141" i="26"/>
  <c r="E144" i="18"/>
  <c r="F144" i="18" s="1"/>
  <c r="G59" i="21"/>
  <c r="I59" i="21" s="1"/>
  <c r="I58" i="23"/>
  <c r="I57" i="26"/>
  <c r="I143" i="18"/>
  <c r="H143" i="18"/>
  <c r="D62" i="18"/>
  <c r="E62" i="18" s="1"/>
  <c r="H61" i="18"/>
  <c r="G61" i="18"/>
  <c r="B55" i="35"/>
  <c r="F55" i="35"/>
  <c r="H55" i="35" s="1"/>
  <c r="B57" i="25"/>
  <c r="D64" i="3"/>
  <c r="E64" i="3" s="1"/>
  <c r="D63" i="4"/>
  <c r="E63" i="4" s="1"/>
  <c r="F59" i="28"/>
  <c r="G59" i="28" s="1"/>
  <c r="B59" i="28"/>
  <c r="D62" i="19"/>
  <c r="E62" i="19" s="1"/>
  <c r="B59" i="23"/>
  <c r="F59" i="23"/>
  <c r="F53" i="38"/>
  <c r="G53" i="38" s="1"/>
  <c r="B53" i="38"/>
  <c r="H63" i="3"/>
  <c r="I63" i="3" s="1"/>
  <c r="G62" i="4"/>
  <c r="B54" i="37"/>
  <c r="F54" i="37"/>
  <c r="H54" i="37" s="1"/>
  <c r="H62" i="4"/>
  <c r="D60" i="21"/>
  <c r="E60" i="21" s="1"/>
  <c r="F56" i="29"/>
  <c r="D59" i="22"/>
  <c r="E59" i="22" s="1"/>
  <c r="B55" i="31"/>
  <c r="F55" i="31"/>
  <c r="B58" i="26"/>
  <c r="F58" i="26"/>
  <c r="G58" i="26" s="1"/>
  <c r="I56" i="13"/>
  <c r="B59" i="27"/>
  <c r="F59" i="27"/>
  <c r="H59" i="27" s="1"/>
  <c r="H61" i="19"/>
  <c r="I61" i="19" s="1"/>
  <c r="H58" i="22"/>
  <c r="I58" i="22" s="1"/>
  <c r="B55" i="34"/>
  <c r="F55" i="34"/>
  <c r="H55" i="34" s="1"/>
  <c r="E57" i="25"/>
  <c r="F57" i="25" s="1"/>
  <c r="B57" i="13"/>
  <c r="F57" i="13"/>
  <c r="F138" i="35"/>
  <c r="B138" i="35"/>
  <c r="H136" i="37"/>
  <c r="I136" i="37"/>
  <c r="I137" i="35"/>
  <c r="H137" i="35"/>
  <c r="B137" i="37"/>
  <c r="E137" i="37"/>
  <c r="F137" i="37" s="1"/>
  <c r="B145" i="4"/>
  <c r="E145" i="4"/>
  <c r="F145" i="4" s="1"/>
  <c r="H144" i="4"/>
  <c r="I144" i="4"/>
  <c r="H141" i="28"/>
  <c r="I141" i="28"/>
  <c r="E142" i="28"/>
  <c r="F142" i="28" s="1"/>
  <c r="B142" i="28"/>
  <c r="F138" i="31"/>
  <c r="B138" i="31"/>
  <c r="I137" i="31"/>
  <c r="H137" i="31"/>
  <c r="D141" i="25"/>
  <c r="G140" i="25"/>
  <c r="J140" i="21"/>
  <c r="D138" i="34"/>
  <c r="E138" i="34" s="1"/>
  <c r="G137" i="34"/>
  <c r="G141" i="24"/>
  <c r="D142" i="24"/>
  <c r="E142" i="24" s="1"/>
  <c r="H143" i="19"/>
  <c r="I143" i="19"/>
  <c r="B144" i="19"/>
  <c r="F144" i="19"/>
  <c r="D142" i="21"/>
  <c r="G141" i="21"/>
  <c r="D142" i="27"/>
  <c r="E142" i="27" s="1"/>
  <c r="G141" i="27"/>
  <c r="D138" i="38"/>
  <c r="E138" i="38" s="1"/>
  <c r="G137" i="38"/>
  <c r="J140" i="27"/>
  <c r="F143" i="29"/>
  <c r="J140" i="24"/>
  <c r="G138" i="13"/>
  <c r="D139" i="13"/>
  <c r="I142" i="29"/>
  <c r="H142" i="29"/>
  <c r="H144" i="3"/>
  <c r="I144" i="3"/>
  <c r="H145" i="23"/>
  <c r="I145" i="23"/>
  <c r="H137" i="20"/>
  <c r="I137" i="20"/>
  <c r="F138" i="20"/>
  <c r="B138" i="20"/>
  <c r="I140" i="22"/>
  <c r="H140" i="22"/>
  <c r="F146" i="23"/>
  <c r="B145" i="3"/>
  <c r="F145" i="3"/>
  <c r="B141" i="22"/>
  <c r="F141" i="22"/>
  <c r="G61" i="24" l="1"/>
  <c r="D62" i="24"/>
  <c r="H61" i="24"/>
  <c r="J143" i="18"/>
  <c r="J140" i="26"/>
  <c r="J137" i="20"/>
  <c r="D142" i="26"/>
  <c r="G141" i="26"/>
  <c r="I62" i="4"/>
  <c r="G55" i="34"/>
  <c r="I55" i="34" s="1"/>
  <c r="H53" i="38"/>
  <c r="I53" i="38" s="1"/>
  <c r="J143" i="19"/>
  <c r="G144" i="18"/>
  <c r="D145" i="18"/>
  <c r="G59" i="27"/>
  <c r="I59" i="27" s="1"/>
  <c r="H59" i="28"/>
  <c r="I59" i="28" s="1"/>
  <c r="J144" i="4"/>
  <c r="D58" i="25"/>
  <c r="E58" i="25" s="1"/>
  <c r="G57" i="25"/>
  <c r="H57" i="25"/>
  <c r="D56" i="31"/>
  <c r="E56" i="31" s="1"/>
  <c r="D57" i="29"/>
  <c r="E57" i="29" s="1"/>
  <c r="D60" i="23"/>
  <c r="E60" i="23" s="1"/>
  <c r="F63" i="4"/>
  <c r="H63" i="4" s="1"/>
  <c r="B63" i="4"/>
  <c r="D56" i="35"/>
  <c r="E56" i="35" s="1"/>
  <c r="D58" i="13"/>
  <c r="E58" i="13" s="1"/>
  <c r="D59" i="26"/>
  <c r="E59" i="26" s="1"/>
  <c r="F60" i="21"/>
  <c r="G60" i="21" s="1"/>
  <c r="B60" i="21"/>
  <c r="B62" i="19"/>
  <c r="F62" i="19"/>
  <c r="H62" i="19" s="1"/>
  <c r="B64" i="3"/>
  <c r="F64" i="3"/>
  <c r="H64" i="3" s="1"/>
  <c r="G55" i="35"/>
  <c r="I55" i="35" s="1"/>
  <c r="G57" i="13"/>
  <c r="H58" i="26"/>
  <c r="I58" i="26" s="1"/>
  <c r="H57" i="13"/>
  <c r="F59" i="22"/>
  <c r="G59" i="22" s="1"/>
  <c r="B59" i="22"/>
  <c r="D55" i="37"/>
  <c r="E55" i="37" s="1"/>
  <c r="D54" i="38"/>
  <c r="E54" i="38" s="1"/>
  <c r="I61" i="18"/>
  <c r="H55" i="31"/>
  <c r="H56" i="29"/>
  <c r="G59" i="23"/>
  <c r="J144" i="3"/>
  <c r="D56" i="34"/>
  <c r="E56" i="34" s="1"/>
  <c r="D60" i="27"/>
  <c r="E60" i="27" s="1"/>
  <c r="G55" i="31"/>
  <c r="G56" i="29"/>
  <c r="G54" i="37"/>
  <c r="I54" i="37" s="1"/>
  <c r="H59" i="23"/>
  <c r="D60" i="28"/>
  <c r="E60" i="28" s="1"/>
  <c r="F62" i="18"/>
  <c r="H62" i="18" s="1"/>
  <c r="B62" i="18"/>
  <c r="G137" i="37"/>
  <c r="D138" i="37"/>
  <c r="B138" i="37" s="1"/>
  <c r="J145" i="23"/>
  <c r="J141" i="28"/>
  <c r="J137" i="31"/>
  <c r="D139" i="35"/>
  <c r="G138" i="35"/>
  <c r="G145" i="4"/>
  <c r="D146" i="4"/>
  <c r="G138" i="31"/>
  <c r="D139" i="31"/>
  <c r="D143" i="28"/>
  <c r="G142" i="28"/>
  <c r="I140" i="25"/>
  <c r="H140" i="25"/>
  <c r="E141" i="25"/>
  <c r="F141" i="25" s="1"/>
  <c r="B141" i="25"/>
  <c r="D144" i="29"/>
  <c r="E144" i="29" s="1"/>
  <c r="G143" i="29"/>
  <c r="F138" i="38"/>
  <c r="B138" i="38"/>
  <c r="H137" i="38"/>
  <c r="I137" i="38"/>
  <c r="D145" i="19"/>
  <c r="E145" i="19" s="1"/>
  <c r="G144" i="19"/>
  <c r="B142" i="24"/>
  <c r="F142" i="24"/>
  <c r="B142" i="21"/>
  <c r="B139" i="13"/>
  <c r="H141" i="24"/>
  <c r="I141" i="24"/>
  <c r="E139" i="13"/>
  <c r="F139" i="13" s="1"/>
  <c r="H141" i="27"/>
  <c r="I141" i="27"/>
  <c r="E142" i="21"/>
  <c r="F142" i="21" s="1"/>
  <c r="H137" i="34"/>
  <c r="I137" i="34"/>
  <c r="I138" i="13"/>
  <c r="H138" i="13"/>
  <c r="B142" i="27"/>
  <c r="F142" i="27"/>
  <c r="H141" i="21"/>
  <c r="I141" i="21"/>
  <c r="B138" i="34"/>
  <c r="F138" i="34"/>
  <c r="D142" i="22"/>
  <c r="G141" i="22"/>
  <c r="G145" i="3"/>
  <c r="D146" i="3"/>
  <c r="E146" i="3" s="1"/>
  <c r="D139" i="20"/>
  <c r="E139" i="20" s="1"/>
  <c r="G138" i="20"/>
  <c r="G146" i="23"/>
  <c r="D147" i="23"/>
  <c r="J140" i="22"/>
  <c r="I61" i="24" l="1"/>
  <c r="E62" i="24"/>
  <c r="B62" i="24"/>
  <c r="F62" i="24"/>
  <c r="G62" i="24" s="1"/>
  <c r="H59" i="22"/>
  <c r="I59" i="22" s="1"/>
  <c r="I141" i="26"/>
  <c r="H141" i="26"/>
  <c r="E142" i="26"/>
  <c r="F142" i="26" s="1"/>
  <c r="B142" i="26"/>
  <c r="I59" i="23"/>
  <c r="J141" i="27"/>
  <c r="E145" i="18"/>
  <c r="F145" i="18" s="1"/>
  <c r="B145" i="18"/>
  <c r="I144" i="18"/>
  <c r="H144" i="18"/>
  <c r="G62" i="18"/>
  <c r="I62" i="18" s="1"/>
  <c r="G64" i="3"/>
  <c r="I64" i="3" s="1"/>
  <c r="G62" i="19"/>
  <c r="I62" i="19" s="1"/>
  <c r="I57" i="25"/>
  <c r="G63" i="4"/>
  <c r="I63" i="4" s="1"/>
  <c r="I55" i="31"/>
  <c r="B56" i="35"/>
  <c r="F56" i="35"/>
  <c r="G56" i="35" s="1"/>
  <c r="J141" i="21"/>
  <c r="D61" i="21"/>
  <c r="E61" i="21" s="1"/>
  <c r="F57" i="29"/>
  <c r="G57" i="29" s="1"/>
  <c r="D63" i="18"/>
  <c r="E63" i="18" s="1"/>
  <c r="B60" i="27"/>
  <c r="F60" i="27"/>
  <c r="G60" i="27" s="1"/>
  <c r="D60" i="22"/>
  <c r="E60" i="22" s="1"/>
  <c r="B59" i="26"/>
  <c r="F59" i="26"/>
  <c r="H59" i="26" s="1"/>
  <c r="B56" i="31"/>
  <c r="F56" i="31"/>
  <c r="F60" i="28"/>
  <c r="G60" i="28" s="1"/>
  <c r="B60" i="28"/>
  <c r="B56" i="34"/>
  <c r="F56" i="34"/>
  <c r="I57" i="13"/>
  <c r="D65" i="3"/>
  <c r="E65" i="3" s="1"/>
  <c r="D64" i="4"/>
  <c r="E64" i="4" s="1"/>
  <c r="B54" i="38"/>
  <c r="F54" i="38"/>
  <c r="H54" i="38" s="1"/>
  <c r="B58" i="13"/>
  <c r="F58" i="13"/>
  <c r="I56" i="29"/>
  <c r="B55" i="37"/>
  <c r="F55" i="37"/>
  <c r="H55" i="37" s="1"/>
  <c r="D63" i="19"/>
  <c r="E63" i="19" s="1"/>
  <c r="H60" i="21"/>
  <c r="I60" i="21" s="1"/>
  <c r="F60" i="23"/>
  <c r="H60" i="23" s="1"/>
  <c r="B60" i="23"/>
  <c r="B58" i="25"/>
  <c r="F58" i="25"/>
  <c r="H58" i="25" s="1"/>
  <c r="H138" i="35"/>
  <c r="I138" i="35"/>
  <c r="E139" i="35"/>
  <c r="F139" i="35" s="1"/>
  <c r="B139" i="35"/>
  <c r="E138" i="37"/>
  <c r="F138" i="37" s="1"/>
  <c r="E146" i="4"/>
  <c r="F146" i="4" s="1"/>
  <c r="B146" i="4"/>
  <c r="I145" i="4"/>
  <c r="H145" i="4"/>
  <c r="I137" i="37"/>
  <c r="H137" i="37"/>
  <c r="G141" i="25"/>
  <c r="D142" i="25"/>
  <c r="I142" i="28"/>
  <c r="H142" i="28"/>
  <c r="E143" i="28"/>
  <c r="F143" i="28" s="1"/>
  <c r="B143" i="28"/>
  <c r="E139" i="31"/>
  <c r="F139" i="31" s="1"/>
  <c r="B139" i="31"/>
  <c r="H138" i="31"/>
  <c r="I138" i="31"/>
  <c r="D140" i="13"/>
  <c r="E140" i="13" s="1"/>
  <c r="G139" i="13"/>
  <c r="G142" i="21"/>
  <c r="D143" i="21"/>
  <c r="E143" i="21" s="1"/>
  <c r="B145" i="19"/>
  <c r="F145" i="19"/>
  <c r="G142" i="27"/>
  <c r="D143" i="27"/>
  <c r="E143" i="27" s="1"/>
  <c r="G142" i="24"/>
  <c r="D143" i="24"/>
  <c r="E143" i="24" s="1"/>
  <c r="G138" i="38"/>
  <c r="D139" i="38"/>
  <c r="E139" i="38" s="1"/>
  <c r="D139" i="34"/>
  <c r="E139" i="34" s="1"/>
  <c r="G138" i="34"/>
  <c r="J141" i="24"/>
  <c r="H143" i="29"/>
  <c r="I143" i="29"/>
  <c r="F144" i="29"/>
  <c r="H144" i="19"/>
  <c r="I144" i="19"/>
  <c r="I145" i="3"/>
  <c r="H145" i="3"/>
  <c r="B146" i="3"/>
  <c r="F146" i="3"/>
  <c r="E147" i="23"/>
  <c r="F147" i="23" s="1"/>
  <c r="H141" i="22"/>
  <c r="I141" i="22"/>
  <c r="H146" i="23"/>
  <c r="I146" i="23"/>
  <c r="B142" i="22"/>
  <c r="F139" i="20"/>
  <c r="B139" i="20"/>
  <c r="I138" i="20"/>
  <c r="H138" i="20"/>
  <c r="E142" i="22"/>
  <c r="F142" i="22" s="1"/>
  <c r="H62" i="24" l="1"/>
  <c r="I62" i="24" s="1"/>
  <c r="D63" i="24"/>
  <c r="D143" i="26"/>
  <c r="G142" i="26"/>
  <c r="G59" i="26"/>
  <c r="I59" i="26" s="1"/>
  <c r="J141" i="26"/>
  <c r="J144" i="18"/>
  <c r="D146" i="18"/>
  <c r="G145" i="18"/>
  <c r="H56" i="35"/>
  <c r="I56" i="35" s="1"/>
  <c r="G55" i="37"/>
  <c r="I55" i="37" s="1"/>
  <c r="G58" i="25"/>
  <c r="I58" i="25" s="1"/>
  <c r="H60" i="28"/>
  <c r="I60" i="28" s="1"/>
  <c r="G60" i="23"/>
  <c r="I60" i="23" s="1"/>
  <c r="B65" i="3"/>
  <c r="F65" i="3"/>
  <c r="D61" i="27"/>
  <c r="E61" i="27" s="1"/>
  <c r="B61" i="21"/>
  <c r="F61" i="21"/>
  <c r="D55" i="38"/>
  <c r="E55" i="38" s="1"/>
  <c r="D61" i="28"/>
  <c r="E61" i="28" s="1"/>
  <c r="D60" i="26"/>
  <c r="E60" i="26" s="1"/>
  <c r="D61" i="23"/>
  <c r="E61" i="23" s="1"/>
  <c r="D57" i="34"/>
  <c r="E57" i="34" s="1"/>
  <c r="D57" i="31"/>
  <c r="E57" i="31" s="1"/>
  <c r="D59" i="13"/>
  <c r="E59" i="13" s="1"/>
  <c r="H56" i="31"/>
  <c r="B63" i="18"/>
  <c r="F63" i="18"/>
  <c r="H63" i="18" s="1"/>
  <c r="G54" i="38"/>
  <c r="I54" i="38" s="1"/>
  <c r="G56" i="34"/>
  <c r="B60" i="22"/>
  <c r="F60" i="22"/>
  <c r="G60" i="22" s="1"/>
  <c r="D57" i="35"/>
  <c r="E57" i="35" s="1"/>
  <c r="D59" i="25"/>
  <c r="E59" i="25" s="1"/>
  <c r="B63" i="19"/>
  <c r="F63" i="19"/>
  <c r="G63" i="19" s="1"/>
  <c r="G58" i="13"/>
  <c r="H56" i="34"/>
  <c r="G56" i="31"/>
  <c r="D58" i="29"/>
  <c r="E58" i="29" s="1"/>
  <c r="D56" i="37"/>
  <c r="E56" i="37" s="1"/>
  <c r="H58" i="13"/>
  <c r="F64" i="4"/>
  <c r="H64" i="4" s="1"/>
  <c r="B64" i="4"/>
  <c r="H60" i="27"/>
  <c r="I60" i="27" s="1"/>
  <c r="H57" i="29"/>
  <c r="I57" i="29" s="1"/>
  <c r="D140" i="35"/>
  <c r="G139" i="35"/>
  <c r="J138" i="31"/>
  <c r="D147" i="4"/>
  <c r="G146" i="4"/>
  <c r="G138" i="37"/>
  <c r="D139" i="37"/>
  <c r="E139" i="37" s="1"/>
  <c r="J145" i="4"/>
  <c r="G139" i="31"/>
  <c r="D140" i="31"/>
  <c r="D144" i="28"/>
  <c r="G143" i="28"/>
  <c r="J142" i="28"/>
  <c r="E142" i="25"/>
  <c r="F142" i="25" s="1"/>
  <c r="B142" i="25"/>
  <c r="J141" i="22"/>
  <c r="H141" i="25"/>
  <c r="I141" i="25"/>
  <c r="J146" i="23"/>
  <c r="J138" i="20"/>
  <c r="B139" i="38"/>
  <c r="F139" i="38"/>
  <c r="G144" i="29"/>
  <c r="D145" i="29"/>
  <c r="E145" i="29" s="1"/>
  <c r="F143" i="21"/>
  <c r="B143" i="21"/>
  <c r="H138" i="38"/>
  <c r="I138" i="38"/>
  <c r="F143" i="27"/>
  <c r="B143" i="27"/>
  <c r="I142" i="21"/>
  <c r="H142" i="21"/>
  <c r="H142" i="27"/>
  <c r="I142" i="27"/>
  <c r="H139" i="13"/>
  <c r="I139" i="13"/>
  <c r="H138" i="34"/>
  <c r="I138" i="34"/>
  <c r="B143" i="24"/>
  <c r="F143" i="24"/>
  <c r="G145" i="19"/>
  <c r="D146" i="19"/>
  <c r="J144" i="19"/>
  <c r="F139" i="34"/>
  <c r="B139" i="34"/>
  <c r="I142" i="24"/>
  <c r="H142" i="24"/>
  <c r="F140" i="13"/>
  <c r="B140" i="13"/>
  <c r="D148" i="23"/>
  <c r="E148" i="23" s="1"/>
  <c r="G147" i="23"/>
  <c r="D143" i="22"/>
  <c r="E143" i="22" s="1"/>
  <c r="G142" i="22"/>
  <c r="G146" i="3"/>
  <c r="D147" i="3"/>
  <c r="D140" i="20"/>
  <c r="E140" i="20" s="1"/>
  <c r="G139" i="20"/>
  <c r="J145" i="3"/>
  <c r="E63" i="24" l="1"/>
  <c r="F63" i="24" s="1"/>
  <c r="G63" i="24" s="1"/>
  <c r="B63" i="24"/>
  <c r="G64" i="4"/>
  <c r="H142" i="26"/>
  <c r="I142" i="26"/>
  <c r="E143" i="26"/>
  <c r="F143" i="26" s="1"/>
  <c r="B143" i="26"/>
  <c r="J142" i="27"/>
  <c r="H145" i="18"/>
  <c r="I145" i="18"/>
  <c r="E146" i="18"/>
  <c r="F146" i="18" s="1"/>
  <c r="B146" i="18"/>
  <c r="H63" i="19"/>
  <c r="I63" i="19" s="1"/>
  <c r="H60" i="22"/>
  <c r="I60" i="22" s="1"/>
  <c r="I64" i="4"/>
  <c r="I56" i="31"/>
  <c r="D66" i="3"/>
  <c r="E66" i="3" s="1"/>
  <c r="F58" i="29"/>
  <c r="G58" i="29" s="1"/>
  <c r="F61" i="23"/>
  <c r="B61" i="23"/>
  <c r="D62" i="21"/>
  <c r="E62" i="21" s="1"/>
  <c r="G65" i="3"/>
  <c r="F59" i="25"/>
  <c r="H59" i="25" s="1"/>
  <c r="B59" i="25"/>
  <c r="B59" i="13"/>
  <c r="F59" i="13"/>
  <c r="H59" i="13" s="1"/>
  <c r="H61" i="21"/>
  <c r="I56" i="34"/>
  <c r="B60" i="26"/>
  <c r="F60" i="26"/>
  <c r="H60" i="26" s="1"/>
  <c r="G61" i="21"/>
  <c r="D65" i="4"/>
  <c r="E65" i="4" s="1"/>
  <c r="B57" i="35"/>
  <c r="F57" i="35"/>
  <c r="F57" i="31"/>
  <c r="H57" i="31" s="1"/>
  <c r="B57" i="31"/>
  <c r="I58" i="13"/>
  <c r="D64" i="18"/>
  <c r="E64" i="18" s="1"/>
  <c r="F61" i="28"/>
  <c r="G61" i="28" s="1"/>
  <c r="B61" i="28"/>
  <c r="B57" i="34"/>
  <c r="F57" i="34"/>
  <c r="F61" i="27"/>
  <c r="B61" i="27"/>
  <c r="F56" i="37"/>
  <c r="G56" i="37" s="1"/>
  <c r="B56" i="37"/>
  <c r="D64" i="19"/>
  <c r="E64" i="19" s="1"/>
  <c r="D61" i="22"/>
  <c r="E61" i="22" s="1"/>
  <c r="G63" i="18"/>
  <c r="I63" i="18" s="1"/>
  <c r="F55" i="38"/>
  <c r="H55" i="38" s="1"/>
  <c r="B55" i="38"/>
  <c r="H65" i="3"/>
  <c r="B139" i="37"/>
  <c r="F139" i="37"/>
  <c r="I138" i="37"/>
  <c r="H138" i="37"/>
  <c r="I146" i="4"/>
  <c r="H146" i="4"/>
  <c r="B147" i="4"/>
  <c r="E147" i="4"/>
  <c r="F147" i="4" s="1"/>
  <c r="H139" i="35"/>
  <c r="I139" i="35"/>
  <c r="E140" i="35"/>
  <c r="F140" i="35" s="1"/>
  <c r="B140" i="35"/>
  <c r="G142" i="25"/>
  <c r="D143" i="25"/>
  <c r="H143" i="28"/>
  <c r="I143" i="28"/>
  <c r="B144" i="28"/>
  <c r="E144" i="28"/>
  <c r="F144" i="28" s="1"/>
  <c r="B140" i="31"/>
  <c r="I139" i="31"/>
  <c r="H139" i="31"/>
  <c r="E140" i="31"/>
  <c r="F140" i="31" s="1"/>
  <c r="B146" i="19"/>
  <c r="H145" i="19"/>
  <c r="I145" i="19"/>
  <c r="J142" i="21"/>
  <c r="D140" i="38"/>
  <c r="E140" i="38" s="1"/>
  <c r="G139" i="38"/>
  <c r="G143" i="24"/>
  <c r="D144" i="24"/>
  <c r="E144" i="24" s="1"/>
  <c r="F145" i="29"/>
  <c r="G143" i="27"/>
  <c r="D144" i="27"/>
  <c r="E144" i="27" s="1"/>
  <c r="I144" i="29"/>
  <c r="H144" i="29"/>
  <c r="J142" i="24"/>
  <c r="G143" i="21"/>
  <c r="D144" i="21"/>
  <c r="E144" i="21" s="1"/>
  <c r="D141" i="13"/>
  <c r="E141" i="13" s="1"/>
  <c r="G140" i="13"/>
  <c r="D140" i="34"/>
  <c r="G139" i="34"/>
  <c r="E146" i="19"/>
  <c r="F146" i="19" s="1"/>
  <c r="I142" i="22"/>
  <c r="H142" i="22"/>
  <c r="B147" i="3"/>
  <c r="H146" i="3"/>
  <c r="I146" i="3"/>
  <c r="H139" i="20"/>
  <c r="I139" i="20"/>
  <c r="B143" i="22"/>
  <c r="F143" i="22"/>
  <c r="I147" i="23"/>
  <c r="H147" i="23"/>
  <c r="E147" i="3"/>
  <c r="F147" i="3" s="1"/>
  <c r="B140" i="20"/>
  <c r="F140" i="20"/>
  <c r="F148" i="23"/>
  <c r="I65" i="3" l="1"/>
  <c r="H63" i="24"/>
  <c r="I63" i="24" s="1"/>
  <c r="D64" i="24"/>
  <c r="J142" i="26"/>
  <c r="D144" i="26"/>
  <c r="G143" i="26"/>
  <c r="J145" i="18"/>
  <c r="D147" i="18"/>
  <c r="G146" i="18"/>
  <c r="J146" i="3"/>
  <c r="G57" i="31"/>
  <c r="I57" i="31" s="1"/>
  <c r="H56" i="37"/>
  <c r="I56" i="37" s="1"/>
  <c r="H61" i="28"/>
  <c r="I61" i="28" s="1"/>
  <c r="G59" i="25"/>
  <c r="I59" i="25" s="1"/>
  <c r="H58" i="29"/>
  <c r="I58" i="29" s="1"/>
  <c r="I61" i="21"/>
  <c r="D62" i="27"/>
  <c r="E62" i="27" s="1"/>
  <c r="D58" i="35"/>
  <c r="E58" i="35" s="1"/>
  <c r="F64" i="19"/>
  <c r="H64" i="19" s="1"/>
  <c r="B64" i="19"/>
  <c r="G61" i="27"/>
  <c r="D62" i="23"/>
  <c r="J139" i="31"/>
  <c r="D56" i="38"/>
  <c r="E56" i="38" s="1"/>
  <c r="D58" i="34"/>
  <c r="E58" i="34" s="1"/>
  <c r="D60" i="25"/>
  <c r="E60" i="25" s="1"/>
  <c r="D62" i="28"/>
  <c r="B65" i="4"/>
  <c r="F65" i="4"/>
  <c r="G65" i="4" s="1"/>
  <c r="G55" i="38"/>
  <c r="I55" i="38" s="1"/>
  <c r="H57" i="34"/>
  <c r="D58" i="31"/>
  <c r="E58" i="31" s="1"/>
  <c r="D60" i="13"/>
  <c r="E60" i="13" s="1"/>
  <c r="D59" i="29"/>
  <c r="E59" i="29" s="1"/>
  <c r="D57" i="37"/>
  <c r="G57" i="34"/>
  <c r="F64" i="18"/>
  <c r="H64" i="18" s="1"/>
  <c r="B64" i="18"/>
  <c r="D61" i="26"/>
  <c r="E61" i="26" s="1"/>
  <c r="B62" i="21"/>
  <c r="F62" i="21"/>
  <c r="G62" i="21" s="1"/>
  <c r="H61" i="27"/>
  <c r="H57" i="35"/>
  <c r="G59" i="13"/>
  <c r="I59" i="13" s="1"/>
  <c r="H61" i="23"/>
  <c r="F66" i="3"/>
  <c r="G66" i="3" s="1"/>
  <c r="B66" i="3"/>
  <c r="B61" i="22"/>
  <c r="F61" i="22"/>
  <c r="H61" i="22" s="1"/>
  <c r="G57" i="35"/>
  <c r="G60" i="26"/>
  <c r="I60" i="26" s="1"/>
  <c r="G61" i="23"/>
  <c r="D148" i="4"/>
  <c r="G147" i="4"/>
  <c r="J146" i="4"/>
  <c r="D141" i="35"/>
  <c r="G140" i="35"/>
  <c r="D140" i="37"/>
  <c r="E140" i="37" s="1"/>
  <c r="G139" i="37"/>
  <c r="J143" i="28"/>
  <c r="D145" i="28"/>
  <c r="B145" i="28" s="1"/>
  <c r="G144" i="28"/>
  <c r="D141" i="31"/>
  <c r="G140" i="31"/>
  <c r="E143" i="25"/>
  <c r="F143" i="25" s="1"/>
  <c r="B143" i="25"/>
  <c r="J139" i="20"/>
  <c r="J145" i="19"/>
  <c r="H142" i="25"/>
  <c r="I142" i="25"/>
  <c r="G146" i="19"/>
  <c r="D147" i="19"/>
  <c r="B140" i="34"/>
  <c r="G145" i="29"/>
  <c r="D146" i="29"/>
  <c r="E146" i="29" s="1"/>
  <c r="B144" i="21"/>
  <c r="F144" i="21"/>
  <c r="I143" i="21"/>
  <c r="H143" i="21"/>
  <c r="F144" i="24"/>
  <c r="B144" i="24"/>
  <c r="H139" i="34"/>
  <c r="I139" i="34"/>
  <c r="I143" i="24"/>
  <c r="H143" i="24"/>
  <c r="I140" i="13"/>
  <c r="H140" i="13"/>
  <c r="F144" i="27"/>
  <c r="B144" i="27"/>
  <c r="F140" i="38"/>
  <c r="B140" i="38"/>
  <c r="E140" i="34"/>
  <c r="F140" i="34" s="1"/>
  <c r="B141" i="13"/>
  <c r="F141" i="13"/>
  <c r="I143" i="27"/>
  <c r="H143" i="27"/>
  <c r="H139" i="38"/>
  <c r="I139" i="38"/>
  <c r="G148" i="23"/>
  <c r="D149" i="23"/>
  <c r="J147" i="23"/>
  <c r="D144" i="22"/>
  <c r="E144" i="22" s="1"/>
  <c r="G143" i="22"/>
  <c r="D148" i="3"/>
  <c r="E148" i="3" s="1"/>
  <c r="G147" i="3"/>
  <c r="G140" i="20"/>
  <c r="D141" i="20"/>
  <c r="E141" i="20" s="1"/>
  <c r="J142" i="22"/>
  <c r="E64" i="24" l="1"/>
  <c r="F64" i="24" s="1"/>
  <c r="G64" i="24" s="1"/>
  <c r="B64" i="24"/>
  <c r="I143" i="26"/>
  <c r="H143" i="26"/>
  <c r="E144" i="26"/>
  <c r="F144" i="26" s="1"/>
  <c r="B144" i="26"/>
  <c r="E145" i="28"/>
  <c r="F145" i="28" s="1"/>
  <c r="D146" i="28" s="1"/>
  <c r="E146" i="28" s="1"/>
  <c r="F146" i="28" s="1"/>
  <c r="I146" i="18"/>
  <c r="H146" i="18"/>
  <c r="E147" i="18"/>
  <c r="F147" i="18" s="1"/>
  <c r="B147" i="18"/>
  <c r="H66" i="3"/>
  <c r="I66" i="3" s="1"/>
  <c r="G64" i="18"/>
  <c r="I64" i="18" s="1"/>
  <c r="H65" i="4"/>
  <c r="I65" i="4" s="1"/>
  <c r="I61" i="23"/>
  <c r="I57" i="35"/>
  <c r="I61" i="27"/>
  <c r="B57" i="37"/>
  <c r="B62" i="28"/>
  <c r="B56" i="38"/>
  <c r="F56" i="38"/>
  <c r="H56" i="38" s="1"/>
  <c r="D62" i="22"/>
  <c r="E62" i="22" s="1"/>
  <c r="B61" i="26"/>
  <c r="F61" i="26"/>
  <c r="F59" i="29"/>
  <c r="B62" i="23"/>
  <c r="D65" i="19"/>
  <c r="E65" i="19" s="1"/>
  <c r="G61" i="22"/>
  <c r="I61" i="22" s="1"/>
  <c r="F60" i="25"/>
  <c r="H60" i="25" s="1"/>
  <c r="B60" i="25"/>
  <c r="E62" i="23"/>
  <c r="F62" i="23" s="1"/>
  <c r="D65" i="18"/>
  <c r="E65" i="18" s="1"/>
  <c r="F60" i="13"/>
  <c r="G60" i="13" s="1"/>
  <c r="B60" i="13"/>
  <c r="D66" i="4"/>
  <c r="E66" i="4" s="1"/>
  <c r="D63" i="21"/>
  <c r="E63" i="21" s="1"/>
  <c r="F58" i="34"/>
  <c r="H58" i="34" s="1"/>
  <c r="B58" i="34"/>
  <c r="B58" i="35"/>
  <c r="F58" i="35"/>
  <c r="H58" i="35" s="1"/>
  <c r="D67" i="3"/>
  <c r="H62" i="21"/>
  <c r="I62" i="21" s="1"/>
  <c r="F58" i="31"/>
  <c r="H58" i="31" s="1"/>
  <c r="B58" i="31"/>
  <c r="E57" i="37"/>
  <c r="F57" i="37" s="1"/>
  <c r="I57" i="34"/>
  <c r="E62" i="28"/>
  <c r="F62" i="28" s="1"/>
  <c r="G64" i="19"/>
  <c r="I64" i="19" s="1"/>
  <c r="B62" i="27"/>
  <c r="F62" i="27"/>
  <c r="G62" i="27" s="1"/>
  <c r="F140" i="37"/>
  <c r="B140" i="37"/>
  <c r="I140" i="35"/>
  <c r="H140" i="35"/>
  <c r="B141" i="35"/>
  <c r="E141" i="35"/>
  <c r="F141" i="35" s="1"/>
  <c r="I147" i="4"/>
  <c r="H147" i="4"/>
  <c r="I139" i="37"/>
  <c r="H139" i="37"/>
  <c r="E148" i="4"/>
  <c r="F148" i="4" s="1"/>
  <c r="B148" i="4"/>
  <c r="G143" i="25"/>
  <c r="D144" i="25"/>
  <c r="B144" i="25" s="1"/>
  <c r="H140" i="31"/>
  <c r="I140" i="31"/>
  <c r="E141" i="31"/>
  <c r="F141" i="31" s="1"/>
  <c r="B141" i="31"/>
  <c r="I144" i="28"/>
  <c r="H144" i="28"/>
  <c r="D145" i="21"/>
  <c r="E145" i="21" s="1"/>
  <c r="G144" i="21"/>
  <c r="J143" i="24"/>
  <c r="G140" i="34"/>
  <c r="D141" i="34"/>
  <c r="E141" i="34" s="1"/>
  <c r="G144" i="24"/>
  <c r="D145" i="24"/>
  <c r="J143" i="21"/>
  <c r="D141" i="38"/>
  <c r="E141" i="38" s="1"/>
  <c r="G140" i="38"/>
  <c r="D145" i="27"/>
  <c r="E145" i="27" s="1"/>
  <c r="G144" i="27"/>
  <c r="F146" i="29"/>
  <c r="B147" i="19"/>
  <c r="J143" i="27"/>
  <c r="I145" i="29"/>
  <c r="H145" i="29"/>
  <c r="E147" i="19"/>
  <c r="F147" i="19" s="1"/>
  <c r="D142" i="13"/>
  <c r="E142" i="13" s="1"/>
  <c r="G141" i="13"/>
  <c r="H146" i="19"/>
  <c r="I146" i="19"/>
  <c r="F144" i="22"/>
  <c r="B144" i="22"/>
  <c r="H143" i="22"/>
  <c r="I143" i="22"/>
  <c r="I140" i="20"/>
  <c r="H140" i="20"/>
  <c r="I147" i="3"/>
  <c r="H147" i="3"/>
  <c r="H148" i="23"/>
  <c r="I148" i="23"/>
  <c r="E149" i="23"/>
  <c r="F149" i="23" s="1"/>
  <c r="B141" i="20"/>
  <c r="F141" i="20"/>
  <c r="B148" i="3"/>
  <c r="F148" i="3"/>
  <c r="B146" i="28" l="1"/>
  <c r="G145" i="28"/>
  <c r="I145" i="28" s="1"/>
  <c r="H64" i="24"/>
  <c r="I64" i="24" s="1"/>
  <c r="D65" i="24"/>
  <c r="D145" i="26"/>
  <c r="G144" i="26"/>
  <c r="J143" i="26"/>
  <c r="E144" i="25"/>
  <c r="F144" i="25" s="1"/>
  <c r="D145" i="25" s="1"/>
  <c r="E145" i="25" s="1"/>
  <c r="H145" i="28"/>
  <c r="G147" i="18"/>
  <c r="D148" i="18"/>
  <c r="J144" i="28"/>
  <c r="J146" i="18"/>
  <c r="H62" i="27"/>
  <c r="I62" i="27" s="1"/>
  <c r="J147" i="4"/>
  <c r="G60" i="25"/>
  <c r="I60" i="25" s="1"/>
  <c r="D63" i="28"/>
  <c r="E63" i="28" s="1"/>
  <c r="G62" i="28"/>
  <c r="H62" i="28"/>
  <c r="D58" i="37"/>
  <c r="E58" i="37" s="1"/>
  <c r="H57" i="37"/>
  <c r="G57" i="37"/>
  <c r="B67" i="3"/>
  <c r="D59" i="34"/>
  <c r="E59" i="34" s="1"/>
  <c r="D63" i="23"/>
  <c r="E63" i="23" s="1"/>
  <c r="D60" i="29"/>
  <c r="B62" i="22"/>
  <c r="F62" i="22"/>
  <c r="H62" i="22" s="1"/>
  <c r="D63" i="27"/>
  <c r="E63" i="27" s="1"/>
  <c r="G58" i="35"/>
  <c r="I58" i="35" s="1"/>
  <c r="D61" i="13"/>
  <c r="E61" i="13" s="1"/>
  <c r="H59" i="29"/>
  <c r="G59" i="29"/>
  <c r="D59" i="31"/>
  <c r="E59" i="31" s="1"/>
  <c r="D59" i="35"/>
  <c r="B63" i="21"/>
  <c r="F63" i="21"/>
  <c r="F65" i="18"/>
  <c r="G65" i="18" s="1"/>
  <c r="B65" i="18"/>
  <c r="F65" i="19"/>
  <c r="G65" i="19" s="1"/>
  <c r="B65" i="19"/>
  <c r="D62" i="26"/>
  <c r="E62" i="26" s="1"/>
  <c r="D57" i="38"/>
  <c r="J140" i="31"/>
  <c r="G58" i="31"/>
  <c r="I58" i="31" s="1"/>
  <c r="G62" i="23"/>
  <c r="G58" i="34"/>
  <c r="I58" i="34" s="1"/>
  <c r="F66" i="4"/>
  <c r="H66" i="4" s="1"/>
  <c r="B66" i="4"/>
  <c r="H62" i="23"/>
  <c r="H61" i="26"/>
  <c r="G56" i="38"/>
  <c r="I56" i="38" s="1"/>
  <c r="E67" i="3"/>
  <c r="F67" i="3" s="1"/>
  <c r="H60" i="13"/>
  <c r="I60" i="13" s="1"/>
  <c r="D61" i="25"/>
  <c r="E61" i="25" s="1"/>
  <c r="G61" i="26"/>
  <c r="G141" i="35"/>
  <c r="D142" i="35"/>
  <c r="B142" i="35" s="1"/>
  <c r="G148" i="4"/>
  <c r="D149" i="4"/>
  <c r="J146" i="19"/>
  <c r="D141" i="37"/>
  <c r="G140" i="37"/>
  <c r="D142" i="31"/>
  <c r="E142" i="31" s="1"/>
  <c r="G141" i="31"/>
  <c r="H143" i="25"/>
  <c r="I143" i="25"/>
  <c r="D148" i="19"/>
  <c r="G147" i="19"/>
  <c r="I144" i="24"/>
  <c r="H144" i="24"/>
  <c r="H141" i="13"/>
  <c r="I141" i="13"/>
  <c r="F142" i="13"/>
  <c r="B142" i="13"/>
  <c r="I144" i="27"/>
  <c r="H144" i="27"/>
  <c r="F141" i="34"/>
  <c r="B141" i="34"/>
  <c r="J140" i="20"/>
  <c r="B145" i="27"/>
  <c r="F145" i="27"/>
  <c r="D147" i="28"/>
  <c r="E147" i="28" s="1"/>
  <c r="G146" i="28"/>
  <c r="H140" i="34"/>
  <c r="I140" i="34"/>
  <c r="H144" i="21"/>
  <c r="I144" i="21"/>
  <c r="B145" i="24"/>
  <c r="J143" i="22"/>
  <c r="H140" i="38"/>
  <c r="I140" i="38"/>
  <c r="B145" i="21"/>
  <c r="F145" i="21"/>
  <c r="J145" i="28"/>
  <c r="J148" i="23"/>
  <c r="G146" i="29"/>
  <c r="D147" i="29"/>
  <c r="E147" i="29" s="1"/>
  <c r="F141" i="38"/>
  <c r="B141" i="38"/>
  <c r="E145" i="24"/>
  <c r="F145" i="24" s="1"/>
  <c r="G149" i="23"/>
  <c r="D150" i="23"/>
  <c r="G144" i="22"/>
  <c r="D145" i="22"/>
  <c r="E145" i="22" s="1"/>
  <c r="J147" i="3"/>
  <c r="G148" i="3"/>
  <c r="D149" i="3"/>
  <c r="E149" i="3" s="1"/>
  <c r="D142" i="20"/>
  <c r="E142" i="20" s="1"/>
  <c r="G141" i="20"/>
  <c r="G144" i="25" l="1"/>
  <c r="I144" i="25" s="1"/>
  <c r="F145" i="25"/>
  <c r="E65" i="24"/>
  <c r="F65" i="24" s="1"/>
  <c r="H65" i="24" s="1"/>
  <c r="B65" i="24"/>
  <c r="H144" i="25"/>
  <c r="B145" i="25"/>
  <c r="I144" i="26"/>
  <c r="H144" i="26"/>
  <c r="E145" i="26"/>
  <c r="F145" i="26" s="1"/>
  <c r="B145" i="26"/>
  <c r="I62" i="28"/>
  <c r="E148" i="18"/>
  <c r="F148" i="18" s="1"/>
  <c r="B148" i="18"/>
  <c r="I147" i="18"/>
  <c r="H147" i="18"/>
  <c r="I59" i="29"/>
  <c r="H65" i="19"/>
  <c r="I65" i="19" s="1"/>
  <c r="I57" i="37"/>
  <c r="I61" i="26"/>
  <c r="D68" i="3"/>
  <c r="E68" i="3" s="1"/>
  <c r="G67" i="3"/>
  <c r="H67" i="3"/>
  <c r="G66" i="4"/>
  <c r="I66" i="4" s="1"/>
  <c r="B57" i="38"/>
  <c r="H65" i="18"/>
  <c r="I65" i="18" s="1"/>
  <c r="B59" i="35"/>
  <c r="F61" i="25"/>
  <c r="H61" i="25" s="1"/>
  <c r="B61" i="25"/>
  <c r="D67" i="4"/>
  <c r="E67" i="4" s="1"/>
  <c r="B62" i="26"/>
  <c r="F62" i="26"/>
  <c r="D66" i="18"/>
  <c r="E66" i="18" s="1"/>
  <c r="F59" i="31"/>
  <c r="G59" i="31" s="1"/>
  <c r="B59" i="31"/>
  <c r="B63" i="27"/>
  <c r="F63" i="27"/>
  <c r="G63" i="27" s="1"/>
  <c r="F58" i="37"/>
  <c r="H58" i="37" s="1"/>
  <c r="B58" i="37"/>
  <c r="D64" i="21"/>
  <c r="E64" i="21" s="1"/>
  <c r="B63" i="23"/>
  <c r="F63" i="23"/>
  <c r="H63" i="23" s="1"/>
  <c r="E142" i="35"/>
  <c r="F142" i="35" s="1"/>
  <c r="G63" i="21"/>
  <c r="D63" i="22"/>
  <c r="E63" i="22" s="1"/>
  <c r="H63" i="21"/>
  <c r="B59" i="34"/>
  <c r="F59" i="34"/>
  <c r="H59" i="34" s="1"/>
  <c r="I62" i="23"/>
  <c r="D66" i="19"/>
  <c r="E66" i="19" s="1"/>
  <c r="G62" i="22"/>
  <c r="I62" i="22" s="1"/>
  <c r="F63" i="28"/>
  <c r="H63" i="28" s="1"/>
  <c r="B63" i="28"/>
  <c r="E57" i="38"/>
  <c r="F57" i="38" s="1"/>
  <c r="E59" i="35"/>
  <c r="F59" i="35" s="1"/>
  <c r="F61" i="13"/>
  <c r="H61" i="13" s="1"/>
  <c r="B61" i="13"/>
  <c r="E60" i="29"/>
  <c r="F60" i="29" s="1"/>
  <c r="E141" i="37"/>
  <c r="F141" i="37" s="1"/>
  <c r="B141" i="37"/>
  <c r="H140" i="37"/>
  <c r="I140" i="37"/>
  <c r="E149" i="4"/>
  <c r="F149" i="4" s="1"/>
  <c r="B149" i="4"/>
  <c r="H148" i="4"/>
  <c r="I148" i="4"/>
  <c r="H141" i="35"/>
  <c r="I141" i="35"/>
  <c r="J144" i="21"/>
  <c r="H141" i="31"/>
  <c r="I141" i="31"/>
  <c r="B142" i="31"/>
  <c r="F142" i="31"/>
  <c r="G145" i="24"/>
  <c r="D146" i="24"/>
  <c r="E146" i="24" s="1"/>
  <c r="D143" i="13"/>
  <c r="E143" i="13" s="1"/>
  <c r="G142" i="13"/>
  <c r="J144" i="24"/>
  <c r="H146" i="28"/>
  <c r="I146" i="28"/>
  <c r="I147" i="19"/>
  <c r="H147" i="19"/>
  <c r="B148" i="19"/>
  <c r="F147" i="28"/>
  <c r="B147" i="28"/>
  <c r="G141" i="34"/>
  <c r="D142" i="34"/>
  <c r="E142" i="34" s="1"/>
  <c r="E148" i="19"/>
  <c r="F148" i="19" s="1"/>
  <c r="H146" i="29"/>
  <c r="I146" i="29"/>
  <c r="G141" i="38"/>
  <c r="D142" i="38"/>
  <c r="E142" i="38" s="1"/>
  <c r="D146" i="27"/>
  <c r="E146" i="27" s="1"/>
  <c r="G145" i="27"/>
  <c r="J144" i="27"/>
  <c r="G145" i="25"/>
  <c r="D146" i="25"/>
  <c r="F147" i="29"/>
  <c r="G145" i="21"/>
  <c r="D146" i="21"/>
  <c r="E146" i="21" s="1"/>
  <c r="B149" i="3"/>
  <c r="F149" i="3"/>
  <c r="H148" i="3"/>
  <c r="I148" i="3"/>
  <c r="E150" i="23"/>
  <c r="F150" i="23" s="1"/>
  <c r="H144" i="22"/>
  <c r="I144" i="22"/>
  <c r="I141" i="20"/>
  <c r="H141" i="20"/>
  <c r="F142" i="20"/>
  <c r="B142" i="20"/>
  <c r="B145" i="22"/>
  <c r="F145" i="22"/>
  <c r="I149" i="23"/>
  <c r="H149" i="23"/>
  <c r="G65" i="24" l="1"/>
  <c r="I65" i="24" s="1"/>
  <c r="D66" i="24"/>
  <c r="J147" i="18"/>
  <c r="G145" i="26"/>
  <c r="D146" i="26"/>
  <c r="J148" i="4"/>
  <c r="J144" i="26"/>
  <c r="I67" i="3"/>
  <c r="J146" i="28"/>
  <c r="D149" i="18"/>
  <c r="G148" i="18"/>
  <c r="G63" i="28"/>
  <c r="I63" i="28" s="1"/>
  <c r="G63" i="23"/>
  <c r="I63" i="23" s="1"/>
  <c r="I63" i="21"/>
  <c r="G59" i="34"/>
  <c r="I59" i="34" s="1"/>
  <c r="D61" i="29"/>
  <c r="E61" i="29" s="1"/>
  <c r="H60" i="29"/>
  <c r="G60" i="29"/>
  <c r="D60" i="35"/>
  <c r="E60" i="35" s="1"/>
  <c r="H59" i="35"/>
  <c r="G59" i="35"/>
  <c r="D58" i="38"/>
  <c r="E58" i="38" s="1"/>
  <c r="G57" i="38"/>
  <c r="H57" i="38"/>
  <c r="D59" i="37"/>
  <c r="E59" i="37" s="1"/>
  <c r="D60" i="31"/>
  <c r="D62" i="13"/>
  <c r="E62" i="13" s="1"/>
  <c r="F67" i="4"/>
  <c r="G67" i="4" s="1"/>
  <c r="B67" i="4"/>
  <c r="B66" i="19"/>
  <c r="F66" i="19"/>
  <c r="H66" i="19" s="1"/>
  <c r="D64" i="27"/>
  <c r="E64" i="27" s="1"/>
  <c r="B66" i="18"/>
  <c r="F66" i="18"/>
  <c r="D62" i="25"/>
  <c r="E62" i="25" s="1"/>
  <c r="B63" i="22"/>
  <c r="F63" i="22"/>
  <c r="H63" i="27"/>
  <c r="I63" i="27" s="1"/>
  <c r="D63" i="26"/>
  <c r="E63" i="26" s="1"/>
  <c r="F64" i="21"/>
  <c r="G64" i="21" s="1"/>
  <c r="B64" i="21"/>
  <c r="H62" i="26"/>
  <c r="G61" i="25"/>
  <c r="I61" i="25" s="1"/>
  <c r="D60" i="34"/>
  <c r="E60" i="34" s="1"/>
  <c r="D143" i="35"/>
  <c r="G142" i="35"/>
  <c r="G62" i="26"/>
  <c r="G61" i="13"/>
  <c r="I61" i="13" s="1"/>
  <c r="D64" i="28"/>
  <c r="E64" i="28" s="1"/>
  <c r="D64" i="23"/>
  <c r="E64" i="23" s="1"/>
  <c r="G58" i="37"/>
  <c r="I58" i="37" s="1"/>
  <c r="H59" i="31"/>
  <c r="I59" i="31" s="1"/>
  <c r="B68" i="3"/>
  <c r="F68" i="3"/>
  <c r="H68" i="3" s="1"/>
  <c r="J141" i="31"/>
  <c r="D142" i="37"/>
  <c r="G141" i="37"/>
  <c r="G149" i="4"/>
  <c r="D150" i="4"/>
  <c r="D143" i="31"/>
  <c r="G142" i="31"/>
  <c r="J147" i="19"/>
  <c r="J148" i="3"/>
  <c r="D149" i="19"/>
  <c r="G148" i="19"/>
  <c r="B142" i="38"/>
  <c r="F142" i="38"/>
  <c r="B146" i="21"/>
  <c r="F146" i="21"/>
  <c r="H141" i="38"/>
  <c r="I141" i="38"/>
  <c r="G147" i="28"/>
  <c r="D148" i="28"/>
  <c r="E148" i="28" s="1"/>
  <c r="H142" i="13"/>
  <c r="I142" i="13"/>
  <c r="I145" i="21"/>
  <c r="H145" i="21"/>
  <c r="G147" i="29"/>
  <c r="D148" i="29"/>
  <c r="E148" i="29" s="1"/>
  <c r="B143" i="13"/>
  <c r="F143" i="13"/>
  <c r="I141" i="34"/>
  <c r="H141" i="34"/>
  <c r="B146" i="25"/>
  <c r="I145" i="25"/>
  <c r="H145" i="25"/>
  <c r="H145" i="27"/>
  <c r="I145" i="27"/>
  <c r="B146" i="24"/>
  <c r="F146" i="24"/>
  <c r="J149" i="23"/>
  <c r="J144" i="22"/>
  <c r="E146" i="25"/>
  <c r="F146" i="25" s="1"/>
  <c r="F146" i="27"/>
  <c r="B146" i="27"/>
  <c r="B142" i="34"/>
  <c r="F142" i="34"/>
  <c r="H145" i="24"/>
  <c r="I145" i="24"/>
  <c r="G149" i="3"/>
  <c r="D150" i="3"/>
  <c r="E150" i="3" s="1"/>
  <c r="D151" i="23"/>
  <c r="E151" i="23" s="1"/>
  <c r="G150" i="23"/>
  <c r="J141" i="20"/>
  <c r="G145" i="22"/>
  <c r="D146" i="22"/>
  <c r="E146" i="22" s="1"/>
  <c r="D143" i="20"/>
  <c r="E143" i="20" s="1"/>
  <c r="G142" i="20"/>
  <c r="E66" i="24" l="1"/>
  <c r="F66" i="24" s="1"/>
  <c r="H66" i="24" s="1"/>
  <c r="B66" i="24"/>
  <c r="I57" i="38"/>
  <c r="E146" i="26"/>
  <c r="F146" i="26" s="1"/>
  <c r="B146" i="26"/>
  <c r="H145" i="26"/>
  <c r="I145" i="26"/>
  <c r="I148" i="18"/>
  <c r="H148" i="18"/>
  <c r="B149" i="18"/>
  <c r="E149" i="18"/>
  <c r="F149" i="18" s="1"/>
  <c r="H67" i="4"/>
  <c r="I67" i="4" s="1"/>
  <c r="G66" i="19"/>
  <c r="I66" i="19" s="1"/>
  <c r="I62" i="26"/>
  <c r="I59" i="35"/>
  <c r="B60" i="31"/>
  <c r="B64" i="23"/>
  <c r="F64" i="23"/>
  <c r="F60" i="34"/>
  <c r="B60" i="34"/>
  <c r="B62" i="25"/>
  <c r="F62" i="25"/>
  <c r="B63" i="26"/>
  <c r="F63" i="26"/>
  <c r="G63" i="26" s="1"/>
  <c r="D67" i="18"/>
  <c r="E67" i="18" s="1"/>
  <c r="B59" i="37"/>
  <c r="F59" i="37"/>
  <c r="H59" i="37" s="1"/>
  <c r="F60" i="35"/>
  <c r="B60" i="35"/>
  <c r="D69" i="3"/>
  <c r="E69" i="3" s="1"/>
  <c r="F64" i="28"/>
  <c r="G64" i="28" s="1"/>
  <c r="B64" i="28"/>
  <c r="G66" i="18"/>
  <c r="D68" i="4"/>
  <c r="E68" i="4" s="1"/>
  <c r="D64" i="22"/>
  <c r="E64" i="22" s="1"/>
  <c r="I60" i="29"/>
  <c r="G68" i="3"/>
  <c r="I68" i="3" s="1"/>
  <c r="G63" i="22"/>
  <c r="H66" i="18"/>
  <c r="D67" i="19"/>
  <c r="E67" i="19" s="1"/>
  <c r="H142" i="35"/>
  <c r="I142" i="35"/>
  <c r="D65" i="21"/>
  <c r="E65" i="21" s="1"/>
  <c r="B62" i="13"/>
  <c r="F62" i="13"/>
  <c r="B58" i="38"/>
  <c r="F58" i="38"/>
  <c r="H58" i="38" s="1"/>
  <c r="F61" i="29"/>
  <c r="G61" i="29" s="1"/>
  <c r="E143" i="35"/>
  <c r="F143" i="35" s="1"/>
  <c r="B143" i="35"/>
  <c r="H64" i="21"/>
  <c r="I64" i="21" s="1"/>
  <c r="H63" i="22"/>
  <c r="B64" i="27"/>
  <c r="F64" i="27"/>
  <c r="H64" i="27" s="1"/>
  <c r="E60" i="31"/>
  <c r="F60" i="31" s="1"/>
  <c r="E150" i="4"/>
  <c r="F150" i="4" s="1"/>
  <c r="B150" i="4"/>
  <c r="I149" i="4"/>
  <c r="H149" i="4"/>
  <c r="H141" i="37"/>
  <c r="I141" i="37"/>
  <c r="E142" i="37"/>
  <c r="F142" i="37" s="1"/>
  <c r="B142" i="37"/>
  <c r="H142" i="31"/>
  <c r="I142" i="31"/>
  <c r="E143" i="31"/>
  <c r="F143" i="31" s="1"/>
  <c r="B143" i="31"/>
  <c r="J145" i="24"/>
  <c r="G146" i="25"/>
  <c r="D147" i="25"/>
  <c r="D143" i="34"/>
  <c r="E143" i="34" s="1"/>
  <c r="G142" i="34"/>
  <c r="D144" i="13"/>
  <c r="G143" i="13"/>
  <c r="B149" i="19"/>
  <c r="D147" i="21"/>
  <c r="E147" i="21" s="1"/>
  <c r="G146" i="21"/>
  <c r="F148" i="29"/>
  <c r="D147" i="24"/>
  <c r="E147" i="24" s="1"/>
  <c r="G146" i="24"/>
  <c r="H147" i="29"/>
  <c r="I147" i="29"/>
  <c r="G146" i="27"/>
  <c r="D147" i="27"/>
  <c r="E147" i="27" s="1"/>
  <c r="I147" i="28"/>
  <c r="H147" i="28"/>
  <c r="E149" i="19"/>
  <c r="F149" i="19" s="1"/>
  <c r="F148" i="28"/>
  <c r="B148" i="28"/>
  <c r="D143" i="38"/>
  <c r="G142" i="38"/>
  <c r="J145" i="27"/>
  <c r="J145" i="21"/>
  <c r="H148" i="19"/>
  <c r="I148" i="19"/>
  <c r="H142" i="20"/>
  <c r="I142" i="20"/>
  <c r="B143" i="20"/>
  <c r="F143" i="20"/>
  <c r="F146" i="22"/>
  <c r="B146" i="22"/>
  <c r="H149" i="3"/>
  <c r="I149" i="3"/>
  <c r="B150" i="3"/>
  <c r="F150" i="3"/>
  <c r="F151" i="23"/>
  <c r="H145" i="22"/>
  <c r="I145" i="22"/>
  <c r="I150" i="23"/>
  <c r="H150" i="23"/>
  <c r="G66" i="24" l="1"/>
  <c r="I66" i="24" s="1"/>
  <c r="D67" i="24"/>
  <c r="J145" i="26"/>
  <c r="D147" i="26"/>
  <c r="G146" i="26"/>
  <c r="G149" i="18"/>
  <c r="D150" i="18"/>
  <c r="J148" i="18"/>
  <c r="I63" i="22"/>
  <c r="G59" i="37"/>
  <c r="I59" i="37" s="1"/>
  <c r="I66" i="18"/>
  <c r="H61" i="29"/>
  <c r="I61" i="29" s="1"/>
  <c r="D61" i="31"/>
  <c r="E61" i="31" s="1"/>
  <c r="H60" i="31"/>
  <c r="G60" i="31"/>
  <c r="J142" i="31"/>
  <c r="D61" i="35"/>
  <c r="E61" i="35" s="1"/>
  <c r="D64" i="26"/>
  <c r="E64" i="26" s="1"/>
  <c r="D63" i="25"/>
  <c r="E63" i="25" s="1"/>
  <c r="D65" i="23"/>
  <c r="E65" i="23" s="1"/>
  <c r="D59" i="38"/>
  <c r="E59" i="38" s="1"/>
  <c r="B65" i="21"/>
  <c r="F65" i="21"/>
  <c r="H65" i="21" s="1"/>
  <c r="G143" i="35"/>
  <c r="D144" i="35"/>
  <c r="D65" i="28"/>
  <c r="E65" i="28" s="1"/>
  <c r="H63" i="26"/>
  <c r="I63" i="26" s="1"/>
  <c r="G58" i="38"/>
  <c r="I58" i="38" s="1"/>
  <c r="B64" i="22"/>
  <c r="F64" i="22"/>
  <c r="D60" i="37"/>
  <c r="D61" i="34"/>
  <c r="E61" i="34" s="1"/>
  <c r="D63" i="13"/>
  <c r="B69" i="3"/>
  <c r="F69" i="3"/>
  <c r="G69" i="3" s="1"/>
  <c r="H60" i="34"/>
  <c r="D65" i="27"/>
  <c r="E65" i="27" s="1"/>
  <c r="H62" i="13"/>
  <c r="B67" i="19"/>
  <c r="F67" i="19"/>
  <c r="H67" i="19" s="1"/>
  <c r="B68" i="4"/>
  <c r="F68" i="4"/>
  <c r="H68" i="4" s="1"/>
  <c r="G60" i="34"/>
  <c r="G62" i="13"/>
  <c r="G60" i="35"/>
  <c r="G62" i="25"/>
  <c r="G64" i="23"/>
  <c r="G64" i="27"/>
  <c r="I64" i="27" s="1"/>
  <c r="D62" i="29"/>
  <c r="E62" i="29" s="1"/>
  <c r="H64" i="28"/>
  <c r="I64" i="28" s="1"/>
  <c r="H60" i="35"/>
  <c r="B67" i="18"/>
  <c r="F67" i="18"/>
  <c r="H62" i="25"/>
  <c r="I62" i="25" s="1"/>
  <c r="H64" i="23"/>
  <c r="I64" i="23" s="1"/>
  <c r="G142" i="37"/>
  <c r="D143" i="37"/>
  <c r="J149" i="4"/>
  <c r="G150" i="4"/>
  <c r="D151" i="4"/>
  <c r="J149" i="3"/>
  <c r="J148" i="19"/>
  <c r="G143" i="31"/>
  <c r="D144" i="31"/>
  <c r="J147" i="28"/>
  <c r="G149" i="19"/>
  <c r="D150" i="19"/>
  <c r="B143" i="38"/>
  <c r="H143" i="13"/>
  <c r="I143" i="13"/>
  <c r="E143" i="38"/>
  <c r="F143" i="38" s="1"/>
  <c r="H146" i="21"/>
  <c r="I146" i="21"/>
  <c r="B144" i="13"/>
  <c r="J142" i="20"/>
  <c r="I146" i="24"/>
  <c r="H146" i="24"/>
  <c r="I142" i="34"/>
  <c r="H142" i="34"/>
  <c r="F147" i="24"/>
  <c r="B147" i="24"/>
  <c r="B143" i="34"/>
  <c r="F143" i="34"/>
  <c r="G148" i="28"/>
  <c r="D149" i="28"/>
  <c r="G148" i="29"/>
  <c r="D149" i="29"/>
  <c r="E149" i="29" s="1"/>
  <c r="B147" i="25"/>
  <c r="F147" i="27"/>
  <c r="B147" i="27"/>
  <c r="E147" i="25"/>
  <c r="F147" i="25" s="1"/>
  <c r="B147" i="21"/>
  <c r="F147" i="21"/>
  <c r="H142" i="38"/>
  <c r="I142" i="38"/>
  <c r="H146" i="27"/>
  <c r="I146" i="27"/>
  <c r="E144" i="13"/>
  <c r="F144" i="13" s="1"/>
  <c r="H146" i="25"/>
  <c r="I146" i="25"/>
  <c r="G146" i="22"/>
  <c r="D147" i="22"/>
  <c r="J150" i="23"/>
  <c r="G143" i="20"/>
  <c r="D144" i="20"/>
  <c r="E144" i="20" s="1"/>
  <c r="G151" i="23"/>
  <c r="D152" i="23"/>
  <c r="E152" i="23" s="1"/>
  <c r="D151" i="3"/>
  <c r="E151" i="3" s="1"/>
  <c r="G150" i="3"/>
  <c r="J145" i="22"/>
  <c r="E67" i="24" l="1"/>
  <c r="F67" i="24" s="1"/>
  <c r="B67" i="24"/>
  <c r="H146" i="26"/>
  <c r="I146" i="26"/>
  <c r="E147" i="26"/>
  <c r="F147" i="26" s="1"/>
  <c r="B147" i="26"/>
  <c r="E150" i="18"/>
  <c r="F150" i="18" s="1"/>
  <c r="B150" i="18"/>
  <c r="H149" i="18"/>
  <c r="I149" i="18"/>
  <c r="I62" i="13"/>
  <c r="I60" i="35"/>
  <c r="H69" i="3"/>
  <c r="I69" i="3" s="1"/>
  <c r="I60" i="34"/>
  <c r="B60" i="37"/>
  <c r="F62" i="29"/>
  <c r="G62" i="29" s="1"/>
  <c r="D65" i="22"/>
  <c r="E65" i="22" s="1"/>
  <c r="B65" i="28"/>
  <c r="F65" i="28"/>
  <c r="B59" i="38"/>
  <c r="F59" i="38"/>
  <c r="H59" i="38" s="1"/>
  <c r="F61" i="35"/>
  <c r="G61" i="35" s="1"/>
  <c r="B61" i="35"/>
  <c r="D68" i="18"/>
  <c r="D69" i="4"/>
  <c r="E69" i="4" s="1"/>
  <c r="B63" i="13"/>
  <c r="E144" i="35"/>
  <c r="F144" i="35" s="1"/>
  <c r="B144" i="35"/>
  <c r="H67" i="18"/>
  <c r="G68" i="4"/>
  <c r="I68" i="4" s="1"/>
  <c r="E63" i="13"/>
  <c r="F63" i="13" s="1"/>
  <c r="H64" i="22"/>
  <c r="H143" i="35"/>
  <c r="I143" i="35"/>
  <c r="F65" i="23"/>
  <c r="G65" i="23" s="1"/>
  <c r="B65" i="23"/>
  <c r="F65" i="27"/>
  <c r="B65" i="27"/>
  <c r="G64" i="22"/>
  <c r="G67" i="18"/>
  <c r="D66" i="21"/>
  <c r="E66" i="21" s="1"/>
  <c r="B63" i="25"/>
  <c r="F63" i="25"/>
  <c r="H63" i="25" s="1"/>
  <c r="I60" i="31"/>
  <c r="D68" i="19"/>
  <c r="E68" i="19" s="1"/>
  <c r="F61" i="34"/>
  <c r="H61" i="34" s="1"/>
  <c r="B61" i="34"/>
  <c r="G67" i="19"/>
  <c r="I67" i="19" s="1"/>
  <c r="D70" i="3"/>
  <c r="E70" i="3" s="1"/>
  <c r="E60" i="37"/>
  <c r="F60" i="37" s="1"/>
  <c r="G65" i="21"/>
  <c r="I65" i="21" s="1"/>
  <c r="B64" i="26"/>
  <c r="F64" i="26"/>
  <c r="H64" i="26" s="1"/>
  <c r="B61" i="31"/>
  <c r="F61" i="31"/>
  <c r="H61" i="31" s="1"/>
  <c r="B151" i="4"/>
  <c r="E151" i="4"/>
  <c r="F151" i="4" s="1"/>
  <c r="I150" i="4"/>
  <c r="H150" i="4"/>
  <c r="B143" i="37"/>
  <c r="H142" i="37"/>
  <c r="I142" i="37"/>
  <c r="E143" i="37"/>
  <c r="F143" i="37" s="1"/>
  <c r="E144" i="31"/>
  <c r="F144" i="31" s="1"/>
  <c r="B144" i="31"/>
  <c r="I143" i="31"/>
  <c r="H143" i="31"/>
  <c r="J146" i="24"/>
  <c r="G147" i="25"/>
  <c r="D148" i="25"/>
  <c r="G143" i="38"/>
  <c r="D144" i="38"/>
  <c r="E144" i="38" s="1"/>
  <c r="D145" i="13"/>
  <c r="E145" i="13" s="1"/>
  <c r="G144" i="13"/>
  <c r="D148" i="21"/>
  <c r="E148" i="21" s="1"/>
  <c r="G147" i="21"/>
  <c r="G143" i="34"/>
  <c r="D144" i="34"/>
  <c r="F149" i="29"/>
  <c r="G147" i="24"/>
  <c r="D148" i="24"/>
  <c r="E148" i="24" s="1"/>
  <c r="D148" i="27"/>
  <c r="G147" i="27"/>
  <c r="H148" i="29"/>
  <c r="I148" i="29"/>
  <c r="B149" i="28"/>
  <c r="B150" i="19"/>
  <c r="J146" i="27"/>
  <c r="E149" i="28"/>
  <c r="F149" i="28" s="1"/>
  <c r="J146" i="21"/>
  <c r="E150" i="19"/>
  <c r="F150" i="19" s="1"/>
  <c r="H148" i="28"/>
  <c r="I148" i="28"/>
  <c r="I149" i="19"/>
  <c r="H149" i="19"/>
  <c r="H150" i="3"/>
  <c r="I150" i="3"/>
  <c r="B147" i="22"/>
  <c r="F152" i="23"/>
  <c r="H151" i="23"/>
  <c r="I151" i="23"/>
  <c r="F144" i="20"/>
  <c r="B144" i="20"/>
  <c r="I146" i="22"/>
  <c r="H146" i="22"/>
  <c r="F151" i="3"/>
  <c r="B151" i="3"/>
  <c r="I143" i="20"/>
  <c r="H143" i="20"/>
  <c r="E147" i="22"/>
  <c r="F147" i="22" s="1"/>
  <c r="D68" i="24" l="1"/>
  <c r="H67" i="24"/>
  <c r="G67" i="24"/>
  <c r="J146" i="26"/>
  <c r="G147" i="26"/>
  <c r="D148" i="26"/>
  <c r="G150" i="18"/>
  <c r="D151" i="18"/>
  <c r="J149" i="18"/>
  <c r="G61" i="31"/>
  <c r="I61" i="31" s="1"/>
  <c r="G64" i="26"/>
  <c r="I64" i="26" s="1"/>
  <c r="G61" i="34"/>
  <c r="I61" i="34" s="1"/>
  <c r="I64" i="22"/>
  <c r="H61" i="35"/>
  <c r="I61" i="35" s="1"/>
  <c r="G59" i="38"/>
  <c r="I59" i="38" s="1"/>
  <c r="D64" i="13"/>
  <c r="H63" i="13"/>
  <c r="G63" i="13"/>
  <c r="D145" i="35"/>
  <c r="G144" i="35"/>
  <c r="D61" i="37"/>
  <c r="E61" i="37" s="1"/>
  <c r="G60" i="37"/>
  <c r="H60" i="37"/>
  <c r="D66" i="27"/>
  <c r="E66" i="27" s="1"/>
  <c r="B68" i="18"/>
  <c r="F68" i="19"/>
  <c r="H68" i="19" s="1"/>
  <c r="B68" i="19"/>
  <c r="F66" i="21"/>
  <c r="H66" i="21" s="1"/>
  <c r="B66" i="21"/>
  <c r="G65" i="27"/>
  <c r="D66" i="28"/>
  <c r="E66" i="28" s="1"/>
  <c r="D63" i="29"/>
  <c r="E63" i="29" s="1"/>
  <c r="F70" i="3"/>
  <c r="G70" i="3" s="1"/>
  <c r="B70" i="3"/>
  <c r="H65" i="28"/>
  <c r="H62" i="29"/>
  <c r="I62" i="29" s="1"/>
  <c r="G65" i="28"/>
  <c r="D62" i="35"/>
  <c r="E62" i="35" s="1"/>
  <c r="D65" i="26"/>
  <c r="E65" i="26" s="1"/>
  <c r="D64" i="25"/>
  <c r="E64" i="25" s="1"/>
  <c r="I67" i="18"/>
  <c r="D66" i="23"/>
  <c r="E66" i="23" s="1"/>
  <c r="B69" i="4"/>
  <c r="F69" i="4"/>
  <c r="D60" i="38"/>
  <c r="E60" i="38" s="1"/>
  <c r="F65" i="22"/>
  <c r="G65" i="22" s="1"/>
  <c r="B65" i="22"/>
  <c r="D62" i="31"/>
  <c r="D62" i="34"/>
  <c r="E62" i="34" s="1"/>
  <c r="G63" i="25"/>
  <c r="I63" i="25" s="1"/>
  <c r="H65" i="27"/>
  <c r="H65" i="23"/>
  <c r="I65" i="23" s="1"/>
  <c r="E68" i="18"/>
  <c r="F68" i="18" s="1"/>
  <c r="G143" i="37"/>
  <c r="D144" i="37"/>
  <c r="B144" i="37" s="1"/>
  <c r="J150" i="4"/>
  <c r="D152" i="4"/>
  <c r="G151" i="4"/>
  <c r="J151" i="23"/>
  <c r="J143" i="31"/>
  <c r="G144" i="31"/>
  <c r="D145" i="31"/>
  <c r="E145" i="31" s="1"/>
  <c r="J148" i="28"/>
  <c r="G150" i="19"/>
  <c r="D151" i="19"/>
  <c r="B148" i="27"/>
  <c r="B144" i="34"/>
  <c r="D150" i="28"/>
  <c r="E150" i="28" s="1"/>
  <c r="G149" i="28"/>
  <c r="H143" i="34"/>
  <c r="I143" i="34"/>
  <c r="F145" i="13"/>
  <c r="B145" i="13"/>
  <c r="J150" i="3"/>
  <c r="I147" i="24"/>
  <c r="H147" i="24"/>
  <c r="B144" i="38"/>
  <c r="F144" i="38"/>
  <c r="B148" i="24"/>
  <c r="F148" i="24"/>
  <c r="J149" i="19"/>
  <c r="D150" i="29"/>
  <c r="E150" i="29" s="1"/>
  <c r="G149" i="29"/>
  <c r="H143" i="38"/>
  <c r="I143" i="38"/>
  <c r="H147" i="21"/>
  <c r="I147" i="21"/>
  <c r="B148" i="25"/>
  <c r="E148" i="27"/>
  <c r="F148" i="27" s="1"/>
  <c r="F148" i="21"/>
  <c r="B148" i="21"/>
  <c r="E148" i="25"/>
  <c r="F148" i="25" s="1"/>
  <c r="H147" i="27"/>
  <c r="I147" i="27"/>
  <c r="E144" i="34"/>
  <c r="F144" i="34" s="1"/>
  <c r="I144" i="13"/>
  <c r="H144" i="13"/>
  <c r="H147" i="25"/>
  <c r="I147" i="25"/>
  <c r="G151" i="3"/>
  <c r="D152" i="3"/>
  <c r="G152" i="23"/>
  <c r="D153" i="23"/>
  <c r="G144" i="20"/>
  <c r="D145" i="20"/>
  <c r="E145" i="20" s="1"/>
  <c r="J143" i="20"/>
  <c r="G147" i="22"/>
  <c r="D148" i="22"/>
  <c r="J146" i="22"/>
  <c r="I67" i="24" l="1"/>
  <c r="E68" i="24"/>
  <c r="F68" i="24" s="1"/>
  <c r="D69" i="24" s="1"/>
  <c r="B68" i="24"/>
  <c r="I60" i="37"/>
  <c r="E148" i="26"/>
  <c r="F148" i="26" s="1"/>
  <c r="B148" i="26"/>
  <c r="H147" i="26"/>
  <c r="I147" i="26"/>
  <c r="E151" i="18"/>
  <c r="F151" i="18" s="1"/>
  <c r="B151" i="18"/>
  <c r="I150" i="18"/>
  <c r="H150" i="18"/>
  <c r="I65" i="27"/>
  <c r="G66" i="21"/>
  <c r="I66" i="21" s="1"/>
  <c r="G68" i="19"/>
  <c r="I68" i="19" s="1"/>
  <c r="H65" i="22"/>
  <c r="I65" i="22" s="1"/>
  <c r="I65" i="28"/>
  <c r="D69" i="18"/>
  <c r="E69" i="18" s="1"/>
  <c r="H68" i="18"/>
  <c r="G68" i="18"/>
  <c r="B62" i="31"/>
  <c r="D70" i="4"/>
  <c r="E70" i="4" s="1"/>
  <c r="F61" i="37"/>
  <c r="B61" i="37"/>
  <c r="G69" i="4"/>
  <c r="F65" i="26"/>
  <c r="H65" i="26" s="1"/>
  <c r="B65" i="26"/>
  <c r="D71" i="3"/>
  <c r="E71" i="3" s="1"/>
  <c r="H144" i="35"/>
  <c r="I144" i="35"/>
  <c r="D67" i="21"/>
  <c r="E67" i="21" s="1"/>
  <c r="E145" i="35"/>
  <c r="F145" i="35" s="1"/>
  <c r="B145" i="35"/>
  <c r="D66" i="22"/>
  <c r="E66" i="22" s="1"/>
  <c r="B66" i="23"/>
  <c r="F66" i="23"/>
  <c r="G66" i="23" s="1"/>
  <c r="B62" i="35"/>
  <c r="F62" i="35"/>
  <c r="H62" i="35" s="1"/>
  <c r="F63" i="29"/>
  <c r="G63" i="29" s="1"/>
  <c r="B66" i="27"/>
  <c r="F66" i="27"/>
  <c r="I63" i="13"/>
  <c r="F62" i="34"/>
  <c r="B62" i="34"/>
  <c r="B60" i="38"/>
  <c r="F60" i="38"/>
  <c r="B66" i="28"/>
  <c r="F66" i="28"/>
  <c r="H66" i="28" s="1"/>
  <c r="B64" i="13"/>
  <c r="E62" i="31"/>
  <c r="F62" i="31" s="1"/>
  <c r="H69" i="4"/>
  <c r="F64" i="25"/>
  <c r="B64" i="25"/>
  <c r="H70" i="3"/>
  <c r="I70" i="3" s="1"/>
  <c r="D69" i="19"/>
  <c r="E69" i="19" s="1"/>
  <c r="E64" i="13"/>
  <c r="F64" i="13" s="1"/>
  <c r="B152" i="4"/>
  <c r="E152" i="4"/>
  <c r="F152" i="4" s="1"/>
  <c r="H151" i="4"/>
  <c r="I151" i="4"/>
  <c r="H143" i="37"/>
  <c r="I143" i="37"/>
  <c r="J147" i="21"/>
  <c r="E144" i="37"/>
  <c r="F144" i="37" s="1"/>
  <c r="B145" i="31"/>
  <c r="F145" i="31"/>
  <c r="H144" i="31"/>
  <c r="I144" i="31"/>
  <c r="G144" i="34"/>
  <c r="D145" i="34"/>
  <c r="E145" i="34" s="1"/>
  <c r="G148" i="27"/>
  <c r="D149" i="27"/>
  <c r="E149" i="27" s="1"/>
  <c r="H149" i="29"/>
  <c r="I149" i="29"/>
  <c r="D145" i="38"/>
  <c r="E145" i="38" s="1"/>
  <c r="G144" i="38"/>
  <c r="B151" i="19"/>
  <c r="D146" i="13"/>
  <c r="G145" i="13"/>
  <c r="F150" i="29"/>
  <c r="H149" i="28"/>
  <c r="I149" i="28"/>
  <c r="E151" i="19"/>
  <c r="F151" i="19" s="1"/>
  <c r="I150" i="19"/>
  <c r="H150" i="19"/>
  <c r="J147" i="24"/>
  <c r="B150" i="28"/>
  <c r="F150" i="28"/>
  <c r="G148" i="24"/>
  <c r="D149" i="24"/>
  <c r="E149" i="24" s="1"/>
  <c r="G148" i="25"/>
  <c r="D149" i="25"/>
  <c r="E149" i="25" s="1"/>
  <c r="J147" i="27"/>
  <c r="D149" i="21"/>
  <c r="E149" i="21" s="1"/>
  <c r="G148" i="21"/>
  <c r="H152" i="23"/>
  <c r="I152" i="23"/>
  <c r="H147" i="22"/>
  <c r="I147" i="22"/>
  <c r="B152" i="3"/>
  <c r="B148" i="22"/>
  <c r="H151" i="3"/>
  <c r="I151" i="3"/>
  <c r="E148" i="22"/>
  <c r="F148" i="22" s="1"/>
  <c r="B145" i="20"/>
  <c r="F145" i="20"/>
  <c r="I144" i="20"/>
  <c r="H144" i="20"/>
  <c r="E153" i="23"/>
  <c r="F153" i="23" s="1"/>
  <c r="E152" i="3"/>
  <c r="F152" i="3" s="1"/>
  <c r="H68" i="24" l="1"/>
  <c r="E69" i="24"/>
  <c r="F69" i="24" s="1"/>
  <c r="B69" i="24"/>
  <c r="G68" i="24"/>
  <c r="J147" i="26"/>
  <c r="G148" i="26"/>
  <c r="D149" i="26"/>
  <c r="G65" i="26"/>
  <c r="I65" i="26" s="1"/>
  <c r="J150" i="18"/>
  <c r="D152" i="18"/>
  <c r="G151" i="18"/>
  <c r="I69" i="4"/>
  <c r="H66" i="23"/>
  <c r="I66" i="23" s="1"/>
  <c r="J147" i="22"/>
  <c r="J152" i="23"/>
  <c r="H63" i="29"/>
  <c r="I63" i="29" s="1"/>
  <c r="G62" i="35"/>
  <c r="I62" i="35" s="1"/>
  <c r="D65" i="13"/>
  <c r="G64" i="13"/>
  <c r="H64" i="13"/>
  <c r="D63" i="31"/>
  <c r="E63" i="31" s="1"/>
  <c r="H62" i="31"/>
  <c r="G62" i="31"/>
  <c r="D67" i="27"/>
  <c r="E67" i="27" s="1"/>
  <c r="G145" i="35"/>
  <c r="D146" i="35"/>
  <c r="D65" i="25"/>
  <c r="E65" i="25" s="1"/>
  <c r="D62" i="37"/>
  <c r="G64" i="25"/>
  <c r="D67" i="28"/>
  <c r="E67" i="28" s="1"/>
  <c r="D63" i="34"/>
  <c r="E63" i="34" s="1"/>
  <c r="B71" i="3"/>
  <c r="F71" i="3"/>
  <c r="H71" i="3" s="1"/>
  <c r="H61" i="37"/>
  <c r="G62" i="34"/>
  <c r="G61" i="37"/>
  <c r="G66" i="28"/>
  <c r="I66" i="28" s="1"/>
  <c r="H62" i="34"/>
  <c r="D67" i="23"/>
  <c r="E67" i="23" s="1"/>
  <c r="B67" i="21"/>
  <c r="F67" i="21"/>
  <c r="G67" i="21" s="1"/>
  <c r="B69" i="19"/>
  <c r="F69" i="19"/>
  <c r="G69" i="19" s="1"/>
  <c r="D61" i="38"/>
  <c r="E61" i="38" s="1"/>
  <c r="D64" i="29"/>
  <c r="E64" i="29" s="1"/>
  <c r="I68" i="18"/>
  <c r="G60" i="38"/>
  <c r="G66" i="27"/>
  <c r="D63" i="35"/>
  <c r="E63" i="35" s="1"/>
  <c r="D66" i="26"/>
  <c r="E66" i="26" s="1"/>
  <c r="J151" i="3"/>
  <c r="J144" i="31"/>
  <c r="J151" i="4"/>
  <c r="H64" i="25"/>
  <c r="H60" i="38"/>
  <c r="H66" i="27"/>
  <c r="B66" i="22"/>
  <c r="F66" i="22"/>
  <c r="H66" i="22" s="1"/>
  <c r="B70" i="4"/>
  <c r="F70" i="4"/>
  <c r="G70" i="4" s="1"/>
  <c r="B69" i="18"/>
  <c r="F69" i="18"/>
  <c r="D145" i="37"/>
  <c r="G144" i="37"/>
  <c r="D153" i="4"/>
  <c r="G152" i="4"/>
  <c r="D146" i="31"/>
  <c r="G145" i="31"/>
  <c r="J150" i="19"/>
  <c r="D152" i="19"/>
  <c r="E152" i="19" s="1"/>
  <c r="G151" i="19"/>
  <c r="B149" i="24"/>
  <c r="F149" i="24"/>
  <c r="G150" i="29"/>
  <c r="D151" i="29"/>
  <c r="E151" i="29" s="1"/>
  <c r="B145" i="38"/>
  <c r="F145" i="38"/>
  <c r="I148" i="21"/>
  <c r="H148" i="21"/>
  <c r="H148" i="24"/>
  <c r="I148" i="24"/>
  <c r="H145" i="13"/>
  <c r="I145" i="13"/>
  <c r="B146" i="13"/>
  <c r="B149" i="27"/>
  <c r="F149" i="27"/>
  <c r="B149" i="21"/>
  <c r="F149" i="21"/>
  <c r="E146" i="13"/>
  <c r="F146" i="13" s="1"/>
  <c r="H148" i="27"/>
  <c r="I148" i="27"/>
  <c r="B149" i="25"/>
  <c r="F149" i="25"/>
  <c r="G150" i="28"/>
  <c r="D151" i="28"/>
  <c r="E151" i="28" s="1"/>
  <c r="B145" i="34"/>
  <c r="F145" i="34"/>
  <c r="H148" i="25"/>
  <c r="I148" i="25"/>
  <c r="J149" i="28"/>
  <c r="H144" i="38"/>
  <c r="I144" i="38"/>
  <c r="I144" i="34"/>
  <c r="H144" i="34"/>
  <c r="D149" i="22"/>
  <c r="G148" i="22"/>
  <c r="D154" i="23"/>
  <c r="G153" i="23"/>
  <c r="J144" i="20"/>
  <c r="G152" i="3"/>
  <c r="D153" i="3"/>
  <c r="E153" i="3" s="1"/>
  <c r="D146" i="20"/>
  <c r="E146" i="20" s="1"/>
  <c r="G145" i="20"/>
  <c r="I68" i="24" l="1"/>
  <c r="G69" i="24"/>
  <c r="H69" i="24"/>
  <c r="D70" i="24"/>
  <c r="E149" i="26"/>
  <c r="F149" i="26" s="1"/>
  <c r="B149" i="26"/>
  <c r="H148" i="26"/>
  <c r="I148" i="26"/>
  <c r="I151" i="18"/>
  <c r="H151" i="18"/>
  <c r="E152" i="18"/>
  <c r="F152" i="18" s="1"/>
  <c r="B152" i="18"/>
  <c r="H70" i="4"/>
  <c r="I70" i="4" s="1"/>
  <c r="I64" i="25"/>
  <c r="I60" i="38"/>
  <c r="I62" i="31"/>
  <c r="G71" i="3"/>
  <c r="I71" i="3" s="1"/>
  <c r="I64" i="13"/>
  <c r="B62" i="37"/>
  <c r="F63" i="35"/>
  <c r="B63" i="35"/>
  <c r="H67" i="21"/>
  <c r="I67" i="21" s="1"/>
  <c r="F64" i="29"/>
  <c r="G64" i="29" s="1"/>
  <c r="D70" i="18"/>
  <c r="E70" i="18" s="1"/>
  <c r="D68" i="21"/>
  <c r="E68" i="21" s="1"/>
  <c r="B63" i="34"/>
  <c r="F63" i="34"/>
  <c r="H63" i="34" s="1"/>
  <c r="F65" i="25"/>
  <c r="H65" i="25" s="1"/>
  <c r="B65" i="25"/>
  <c r="F63" i="31"/>
  <c r="H63" i="31" s="1"/>
  <c r="B63" i="31"/>
  <c r="G69" i="18"/>
  <c r="D67" i="22"/>
  <c r="E67" i="22" s="1"/>
  <c r="F61" i="38"/>
  <c r="G61" i="38" s="1"/>
  <c r="B61" i="38"/>
  <c r="I61" i="37"/>
  <c r="E146" i="35"/>
  <c r="F146" i="35" s="1"/>
  <c r="B146" i="35"/>
  <c r="G66" i="22"/>
  <c r="I66" i="22" s="1"/>
  <c r="D70" i="19"/>
  <c r="E70" i="19" s="1"/>
  <c r="B67" i="28"/>
  <c r="F67" i="28"/>
  <c r="H67" i="28" s="1"/>
  <c r="I145" i="35"/>
  <c r="H145" i="35"/>
  <c r="H69" i="18"/>
  <c r="B66" i="26"/>
  <c r="F66" i="26"/>
  <c r="H66" i="26" s="1"/>
  <c r="F67" i="23"/>
  <c r="H67" i="23" s="1"/>
  <c r="B67" i="23"/>
  <c r="D72" i="3"/>
  <c r="E72" i="3" s="1"/>
  <c r="B65" i="13"/>
  <c r="D71" i="4"/>
  <c r="E71" i="4" s="1"/>
  <c r="I66" i="27"/>
  <c r="H69" i="19"/>
  <c r="I69" i="19" s="1"/>
  <c r="I62" i="34"/>
  <c r="E62" i="37"/>
  <c r="F62" i="37" s="1"/>
  <c r="F67" i="27"/>
  <c r="H67" i="27" s="1"/>
  <c r="B67" i="27"/>
  <c r="E65" i="13"/>
  <c r="F65" i="13" s="1"/>
  <c r="H152" i="4"/>
  <c r="I152" i="4"/>
  <c r="B153" i="4"/>
  <c r="E153" i="4"/>
  <c r="F153" i="4" s="1"/>
  <c r="I144" i="37"/>
  <c r="H144" i="37"/>
  <c r="J148" i="24"/>
  <c r="E145" i="37"/>
  <c r="F145" i="37" s="1"/>
  <c r="B145" i="37"/>
  <c r="H145" i="31"/>
  <c r="I145" i="31"/>
  <c r="E146" i="31"/>
  <c r="F146" i="31" s="1"/>
  <c r="B146" i="31"/>
  <c r="G146" i="13"/>
  <c r="D147" i="13"/>
  <c r="E147" i="13" s="1"/>
  <c r="G149" i="25"/>
  <c r="D150" i="25"/>
  <c r="D150" i="21"/>
  <c r="G149" i="21"/>
  <c r="I151" i="19"/>
  <c r="H151" i="19"/>
  <c r="J148" i="27"/>
  <c r="D150" i="27"/>
  <c r="E150" i="27" s="1"/>
  <c r="G149" i="27"/>
  <c r="G145" i="38"/>
  <c r="D146" i="38"/>
  <c r="D150" i="24"/>
  <c r="E150" i="24" s="1"/>
  <c r="G149" i="24"/>
  <c r="G145" i="34"/>
  <c r="D146" i="34"/>
  <c r="E146" i="34" s="1"/>
  <c r="B152" i="19"/>
  <c r="F152" i="19"/>
  <c r="B151" i="28"/>
  <c r="F151" i="28"/>
  <c r="F151" i="29"/>
  <c r="I150" i="28"/>
  <c r="H150" i="28"/>
  <c r="J148" i="21"/>
  <c r="I150" i="29"/>
  <c r="H150" i="29"/>
  <c r="H152" i="3"/>
  <c r="I152" i="3"/>
  <c r="I148" i="22"/>
  <c r="H148" i="22"/>
  <c r="F153" i="3"/>
  <c r="B153" i="3"/>
  <c r="E154" i="23"/>
  <c r="F154" i="23" s="1"/>
  <c r="B149" i="22"/>
  <c r="I153" i="23"/>
  <c r="H153" i="23"/>
  <c r="I145" i="20"/>
  <c r="H145" i="20"/>
  <c r="F146" i="20"/>
  <c r="B146" i="20"/>
  <c r="E149" i="22"/>
  <c r="F149" i="22" s="1"/>
  <c r="I69" i="24" l="1"/>
  <c r="E70" i="24"/>
  <c r="F70" i="24" s="1"/>
  <c r="B70" i="24"/>
  <c r="D150" i="26"/>
  <c r="G149" i="26"/>
  <c r="J148" i="26"/>
  <c r="I69" i="18"/>
  <c r="J145" i="31"/>
  <c r="D153" i="18"/>
  <c r="G152" i="18"/>
  <c r="J151" i="18"/>
  <c r="H61" i="38"/>
  <c r="I61" i="38" s="1"/>
  <c r="G67" i="27"/>
  <c r="I67" i="27" s="1"/>
  <c r="G67" i="28"/>
  <c r="I67" i="28" s="1"/>
  <c r="G66" i="26"/>
  <c r="I66" i="26" s="1"/>
  <c r="G63" i="34"/>
  <c r="I63" i="34" s="1"/>
  <c r="G65" i="25"/>
  <c r="I65" i="25" s="1"/>
  <c r="D66" i="13"/>
  <c r="E66" i="13" s="1"/>
  <c r="H65" i="13"/>
  <c r="G65" i="13"/>
  <c r="D63" i="37"/>
  <c r="E63" i="37" s="1"/>
  <c r="H62" i="37"/>
  <c r="G62" i="37"/>
  <c r="B72" i="3"/>
  <c r="F72" i="3"/>
  <c r="H72" i="3" s="1"/>
  <c r="D62" i="38"/>
  <c r="E62" i="38" s="1"/>
  <c r="D64" i="31"/>
  <c r="D65" i="29"/>
  <c r="E65" i="29" s="1"/>
  <c r="F70" i="19"/>
  <c r="H70" i="19" s="1"/>
  <c r="B70" i="19"/>
  <c r="F71" i="4"/>
  <c r="H71" i="4" s="1"/>
  <c r="B71" i="4"/>
  <c r="B68" i="21"/>
  <c r="F68" i="21"/>
  <c r="D68" i="23"/>
  <c r="B67" i="22"/>
  <c r="F67" i="22"/>
  <c r="H67" i="22" s="1"/>
  <c r="D64" i="35"/>
  <c r="D68" i="27"/>
  <c r="E68" i="27" s="1"/>
  <c r="G67" i="23"/>
  <c r="I67" i="23" s="1"/>
  <c r="D147" i="35"/>
  <c r="G146" i="35"/>
  <c r="D66" i="25"/>
  <c r="E66" i="25" s="1"/>
  <c r="H63" i="35"/>
  <c r="G63" i="31"/>
  <c r="I63" i="31" s="1"/>
  <c r="B70" i="18"/>
  <c r="F70" i="18"/>
  <c r="G63" i="35"/>
  <c r="J152" i="4"/>
  <c r="D67" i="26"/>
  <c r="E67" i="26" s="1"/>
  <c r="D68" i="28"/>
  <c r="E68" i="28" s="1"/>
  <c r="D64" i="34"/>
  <c r="H64" i="29"/>
  <c r="I64" i="29" s="1"/>
  <c r="G145" i="37"/>
  <c r="D146" i="37"/>
  <c r="G153" i="4"/>
  <c r="D154" i="4"/>
  <c r="J152" i="3"/>
  <c r="D147" i="31"/>
  <c r="G146" i="31"/>
  <c r="J151" i="19"/>
  <c r="G151" i="29"/>
  <c r="D152" i="29"/>
  <c r="E152" i="29" s="1"/>
  <c r="B146" i="38"/>
  <c r="I149" i="21"/>
  <c r="H149" i="21"/>
  <c r="G151" i="28"/>
  <c r="D152" i="28"/>
  <c r="E152" i="28" s="1"/>
  <c r="H145" i="38"/>
  <c r="I145" i="38"/>
  <c r="B150" i="21"/>
  <c r="B150" i="25"/>
  <c r="H145" i="34"/>
  <c r="I145" i="34"/>
  <c r="I149" i="25"/>
  <c r="H149" i="25"/>
  <c r="F146" i="34"/>
  <c r="B146" i="34"/>
  <c r="I149" i="27"/>
  <c r="H149" i="27"/>
  <c r="E150" i="25"/>
  <c r="F150" i="25" s="1"/>
  <c r="J150" i="28"/>
  <c r="H149" i="24"/>
  <c r="I149" i="24"/>
  <c r="B150" i="27"/>
  <c r="F150" i="27"/>
  <c r="F147" i="13"/>
  <c r="B147" i="13"/>
  <c r="F150" i="24"/>
  <c r="B150" i="24"/>
  <c r="G152" i="19"/>
  <c r="D153" i="19"/>
  <c r="E146" i="38"/>
  <c r="F146" i="38" s="1"/>
  <c r="E150" i="21"/>
  <c r="F150" i="21" s="1"/>
  <c r="H146" i="13"/>
  <c r="I146" i="13"/>
  <c r="D155" i="23"/>
  <c r="G154" i="23"/>
  <c r="D150" i="22"/>
  <c r="E150" i="22" s="1"/>
  <c r="G149" i="22"/>
  <c r="G146" i="20"/>
  <c r="D147" i="20"/>
  <c r="J145" i="20"/>
  <c r="G153" i="3"/>
  <c r="D154" i="3"/>
  <c r="J153" i="23"/>
  <c r="J148" i="22"/>
  <c r="D71" i="24" l="1"/>
  <c r="H70" i="24"/>
  <c r="G70" i="24"/>
  <c r="H149" i="26"/>
  <c r="I149" i="26"/>
  <c r="E150" i="26"/>
  <c r="F150" i="26" s="1"/>
  <c r="B150" i="26"/>
  <c r="I152" i="18"/>
  <c r="H152" i="18"/>
  <c r="E153" i="18"/>
  <c r="F153" i="18" s="1"/>
  <c r="B153" i="18"/>
  <c r="G70" i="19"/>
  <c r="I70" i="19" s="1"/>
  <c r="G71" i="4"/>
  <c r="I71" i="4" s="1"/>
  <c r="I62" i="37"/>
  <c r="B64" i="34"/>
  <c r="D71" i="18"/>
  <c r="E71" i="18" s="1"/>
  <c r="B64" i="35"/>
  <c r="D69" i="21"/>
  <c r="E69" i="21" s="1"/>
  <c r="B64" i="31"/>
  <c r="F66" i="25"/>
  <c r="H66" i="25" s="1"/>
  <c r="B66" i="25"/>
  <c r="B68" i="28"/>
  <c r="F68" i="28"/>
  <c r="H68" i="28" s="1"/>
  <c r="G70" i="18"/>
  <c r="I146" i="35"/>
  <c r="H146" i="35"/>
  <c r="D68" i="22"/>
  <c r="E68" i="22" s="1"/>
  <c r="H68" i="21"/>
  <c r="B62" i="38"/>
  <c r="F62" i="38"/>
  <c r="G62" i="38" s="1"/>
  <c r="F63" i="37"/>
  <c r="G63" i="37" s="1"/>
  <c r="B63" i="37"/>
  <c r="E147" i="35"/>
  <c r="F147" i="35" s="1"/>
  <c r="B147" i="35"/>
  <c r="G67" i="22"/>
  <c r="I67" i="22" s="1"/>
  <c r="D71" i="19"/>
  <c r="E71" i="19" s="1"/>
  <c r="B67" i="26"/>
  <c r="F67" i="26"/>
  <c r="G67" i="26" s="1"/>
  <c r="D73" i="3"/>
  <c r="E73" i="3" s="1"/>
  <c r="E74" i="3" s="1"/>
  <c r="B68" i="23"/>
  <c r="G72" i="3"/>
  <c r="I72" i="3" s="1"/>
  <c r="I65" i="13"/>
  <c r="F68" i="27"/>
  <c r="G68" i="27" s="1"/>
  <c r="B68" i="27"/>
  <c r="E68" i="23"/>
  <c r="F68" i="23" s="1"/>
  <c r="D72" i="4"/>
  <c r="E72" i="4" s="1"/>
  <c r="F65" i="29"/>
  <c r="H65" i="29" s="1"/>
  <c r="E64" i="34"/>
  <c r="F64" i="34" s="1"/>
  <c r="H70" i="18"/>
  <c r="I63" i="35"/>
  <c r="E64" i="35"/>
  <c r="F64" i="35" s="1"/>
  <c r="G68" i="21"/>
  <c r="E64" i="31"/>
  <c r="F64" i="31" s="1"/>
  <c r="B66" i="13"/>
  <c r="F66" i="13"/>
  <c r="H66" i="13" s="1"/>
  <c r="H153" i="4"/>
  <c r="I153" i="4"/>
  <c r="E146" i="37"/>
  <c r="F146" i="37" s="1"/>
  <c r="B146" i="37"/>
  <c r="B154" i="4"/>
  <c r="E154" i="4"/>
  <c r="F154" i="4" s="1"/>
  <c r="I145" i="37"/>
  <c r="H145" i="37"/>
  <c r="H146" i="31"/>
  <c r="I146" i="31"/>
  <c r="B147" i="31"/>
  <c r="E147" i="31"/>
  <c r="F147" i="31" s="1"/>
  <c r="G150" i="25"/>
  <c r="D151" i="25"/>
  <c r="D151" i="21"/>
  <c r="E151" i="21" s="1"/>
  <c r="G150" i="21"/>
  <c r="D147" i="38"/>
  <c r="E147" i="38" s="1"/>
  <c r="G146" i="38"/>
  <c r="G150" i="24"/>
  <c r="D151" i="24"/>
  <c r="E151" i="24" s="1"/>
  <c r="D148" i="13"/>
  <c r="E148" i="13" s="1"/>
  <c r="G147" i="13"/>
  <c r="F152" i="29"/>
  <c r="B153" i="19"/>
  <c r="J149" i="27"/>
  <c r="B152" i="28"/>
  <c r="F152" i="28"/>
  <c r="I151" i="29"/>
  <c r="H151" i="29"/>
  <c r="H152" i="19"/>
  <c r="I152" i="19"/>
  <c r="G150" i="27"/>
  <c r="D151" i="27"/>
  <c r="E151" i="27" s="1"/>
  <c r="I151" i="28"/>
  <c r="H151" i="28"/>
  <c r="E153" i="19"/>
  <c r="F153" i="19" s="1"/>
  <c r="G146" i="34"/>
  <c r="D147" i="34"/>
  <c r="E147" i="34" s="1"/>
  <c r="J149" i="24"/>
  <c r="J149" i="21"/>
  <c r="B154" i="3"/>
  <c r="I154" i="23"/>
  <c r="H154" i="23"/>
  <c r="E155" i="23"/>
  <c r="E156" i="23" s="1"/>
  <c r="B147" i="20"/>
  <c r="E147" i="20"/>
  <c r="F147" i="20" s="1"/>
  <c r="E154" i="3"/>
  <c r="F154" i="3" s="1"/>
  <c r="F150" i="22"/>
  <c r="B150" i="22"/>
  <c r="H153" i="3"/>
  <c r="I153" i="3"/>
  <c r="I146" i="20"/>
  <c r="H146" i="20"/>
  <c r="H149" i="22"/>
  <c r="I149" i="22"/>
  <c r="I70" i="24" l="1"/>
  <c r="J149" i="26"/>
  <c r="E71" i="24"/>
  <c r="F71" i="24" s="1"/>
  <c r="B71" i="24"/>
  <c r="G150" i="26"/>
  <c r="D151" i="26"/>
  <c r="B151" i="26" s="1"/>
  <c r="G153" i="18"/>
  <c r="D154" i="18"/>
  <c r="B154" i="18" s="1"/>
  <c r="J146" i="31"/>
  <c r="J152" i="18"/>
  <c r="G66" i="25"/>
  <c r="I66" i="25" s="1"/>
  <c r="H67" i="26"/>
  <c r="I67" i="26" s="1"/>
  <c r="J153" i="4"/>
  <c r="D69" i="23"/>
  <c r="E69" i="23" s="1"/>
  <c r="G68" i="23"/>
  <c r="H68" i="23"/>
  <c r="D65" i="31"/>
  <c r="E65" i="31" s="1"/>
  <c r="G64" i="31"/>
  <c r="H64" i="31"/>
  <c r="D65" i="35"/>
  <c r="E65" i="35" s="1"/>
  <c r="H64" i="35"/>
  <c r="G64" i="35"/>
  <c r="D65" i="34"/>
  <c r="E65" i="34" s="1"/>
  <c r="H64" i="34"/>
  <c r="G64" i="34"/>
  <c r="I68" i="21"/>
  <c r="D67" i="13"/>
  <c r="E67" i="13" s="1"/>
  <c r="D66" i="29"/>
  <c r="E66" i="29" s="1"/>
  <c r="D69" i="27"/>
  <c r="E69" i="27" s="1"/>
  <c r="D64" i="37"/>
  <c r="E64" i="37" s="1"/>
  <c r="F68" i="22"/>
  <c r="H68" i="22" s="1"/>
  <c r="B68" i="22"/>
  <c r="B71" i="18"/>
  <c r="F71" i="18"/>
  <c r="H71" i="18" s="1"/>
  <c r="G65" i="29"/>
  <c r="I65" i="29" s="1"/>
  <c r="B71" i="19"/>
  <c r="F71" i="19"/>
  <c r="H71" i="19" s="1"/>
  <c r="H63" i="37"/>
  <c r="I63" i="37" s="1"/>
  <c r="F73" i="3"/>
  <c r="H73" i="3" s="1"/>
  <c r="B73" i="3"/>
  <c r="F69" i="21"/>
  <c r="G69" i="21" s="1"/>
  <c r="B69" i="21"/>
  <c r="B72" i="4"/>
  <c r="F72" i="4"/>
  <c r="D63" i="38"/>
  <c r="E63" i="38" s="1"/>
  <c r="G147" i="35"/>
  <c r="D148" i="35"/>
  <c r="D69" i="28"/>
  <c r="D67" i="25"/>
  <c r="E67" i="25" s="1"/>
  <c r="G66" i="13"/>
  <c r="I66" i="13" s="1"/>
  <c r="I70" i="18"/>
  <c r="H68" i="27"/>
  <c r="I68" i="27" s="1"/>
  <c r="D68" i="26"/>
  <c r="E68" i="26" s="1"/>
  <c r="H62" i="38"/>
  <c r="I62" i="38" s="1"/>
  <c r="G68" i="28"/>
  <c r="I68" i="28" s="1"/>
  <c r="D155" i="4"/>
  <c r="G154" i="4"/>
  <c r="G146" i="37"/>
  <c r="D147" i="37"/>
  <c r="J152" i="19"/>
  <c r="G147" i="31"/>
  <c r="D148" i="31"/>
  <c r="J153" i="3"/>
  <c r="G153" i="19"/>
  <c r="D154" i="19"/>
  <c r="J151" i="28"/>
  <c r="F147" i="38"/>
  <c r="B147" i="38"/>
  <c r="H147" i="13"/>
  <c r="I147" i="13"/>
  <c r="G152" i="29"/>
  <c r="D153" i="29"/>
  <c r="B151" i="27"/>
  <c r="F151" i="27"/>
  <c r="G152" i="28"/>
  <c r="D153" i="28"/>
  <c r="B148" i="13"/>
  <c r="F148" i="13"/>
  <c r="H150" i="21"/>
  <c r="I150" i="21"/>
  <c r="H150" i="27"/>
  <c r="I150" i="27"/>
  <c r="B151" i="21"/>
  <c r="F151" i="21"/>
  <c r="F151" i="24"/>
  <c r="B151" i="24"/>
  <c r="B151" i="25"/>
  <c r="H146" i="34"/>
  <c r="I146" i="34"/>
  <c r="H150" i="24"/>
  <c r="I150" i="24"/>
  <c r="H150" i="25"/>
  <c r="I150" i="25"/>
  <c r="F147" i="34"/>
  <c r="B147" i="34"/>
  <c r="H146" i="38"/>
  <c r="I146" i="38"/>
  <c r="E151" i="25"/>
  <c r="F151" i="25" s="1"/>
  <c r="J154" i="23"/>
  <c r="D155" i="3"/>
  <c r="G154" i="3"/>
  <c r="G150" i="22"/>
  <c r="D151" i="22"/>
  <c r="G147" i="20"/>
  <c r="D148" i="20"/>
  <c r="J146" i="20"/>
  <c r="J149" i="22"/>
  <c r="F155" i="23"/>
  <c r="G155" i="23" s="1"/>
  <c r="G71" i="24" l="1"/>
  <c r="H71" i="24"/>
  <c r="I71" i="24" s="1"/>
  <c r="D72" i="24"/>
  <c r="E154" i="18"/>
  <c r="F154" i="18" s="1"/>
  <c r="G154" i="18" s="1"/>
  <c r="H154" i="18" s="1"/>
  <c r="E151" i="26"/>
  <c r="F151" i="26" s="1"/>
  <c r="H150" i="26"/>
  <c r="I150" i="26"/>
  <c r="J150" i="27"/>
  <c r="H153" i="18"/>
  <c r="I153" i="18"/>
  <c r="I64" i="34"/>
  <c r="G71" i="18"/>
  <c r="I71" i="18" s="1"/>
  <c r="I68" i="23"/>
  <c r="H74" i="3"/>
  <c r="B69" i="28"/>
  <c r="D73" i="4"/>
  <c r="G73" i="3"/>
  <c r="G74" i="3" s="1"/>
  <c r="D72" i="18"/>
  <c r="E72" i="18" s="1"/>
  <c r="B148" i="35"/>
  <c r="E148" i="35"/>
  <c r="F148" i="35" s="1"/>
  <c r="B64" i="37"/>
  <c r="F64" i="37"/>
  <c r="F66" i="29"/>
  <c r="H147" i="35"/>
  <c r="I147" i="35"/>
  <c r="B65" i="34"/>
  <c r="F65" i="34"/>
  <c r="G65" i="34" s="1"/>
  <c r="B65" i="31"/>
  <c r="F65" i="31"/>
  <c r="G65" i="31" s="1"/>
  <c r="J150" i="21"/>
  <c r="D72" i="19"/>
  <c r="E72" i="19" s="1"/>
  <c r="B68" i="26"/>
  <c r="F68" i="26"/>
  <c r="G68" i="26" s="1"/>
  <c r="D70" i="21"/>
  <c r="E70" i="21" s="1"/>
  <c r="B67" i="13"/>
  <c r="F67" i="13"/>
  <c r="G67" i="13" s="1"/>
  <c r="I64" i="35"/>
  <c r="B63" i="38"/>
  <c r="F63" i="38"/>
  <c r="G63" i="38" s="1"/>
  <c r="H69" i="21"/>
  <c r="I69" i="21" s="1"/>
  <c r="B67" i="25"/>
  <c r="F67" i="25"/>
  <c r="H67" i="25" s="1"/>
  <c r="G72" i="4"/>
  <c r="G71" i="19"/>
  <c r="I71" i="19" s="1"/>
  <c r="D69" i="22"/>
  <c r="E69" i="22" s="1"/>
  <c r="B65" i="35"/>
  <c r="F65" i="35"/>
  <c r="H65" i="35" s="1"/>
  <c r="B69" i="23"/>
  <c r="F69" i="23"/>
  <c r="G69" i="23" s="1"/>
  <c r="E69" i="28"/>
  <c r="F69" i="28" s="1"/>
  <c r="H72" i="4"/>
  <c r="G68" i="22"/>
  <c r="I68" i="22" s="1"/>
  <c r="F69" i="27"/>
  <c r="H69" i="27" s="1"/>
  <c r="B69" i="27"/>
  <c r="I64" i="31"/>
  <c r="E147" i="37"/>
  <c r="F147" i="37" s="1"/>
  <c r="B147" i="37"/>
  <c r="H146" i="37"/>
  <c r="I146" i="37"/>
  <c r="I154" i="4"/>
  <c r="H154" i="4"/>
  <c r="E155" i="4"/>
  <c r="E156" i="4" s="1"/>
  <c r="B155" i="4"/>
  <c r="E148" i="31"/>
  <c r="F148" i="31" s="1"/>
  <c r="B148" i="31"/>
  <c r="J150" i="24"/>
  <c r="H147" i="31"/>
  <c r="I147" i="31"/>
  <c r="G151" i="25"/>
  <c r="D152" i="25"/>
  <c r="E152" i="25" s="1"/>
  <c r="B153" i="28"/>
  <c r="I152" i="28"/>
  <c r="H152" i="28"/>
  <c r="E153" i="28"/>
  <c r="F153" i="28" s="1"/>
  <c r="D152" i="24"/>
  <c r="E152" i="24" s="1"/>
  <c r="G151" i="24"/>
  <c r="G151" i="27"/>
  <c r="D152" i="27"/>
  <c r="E152" i="27" s="1"/>
  <c r="G147" i="38"/>
  <c r="D148" i="38"/>
  <c r="E148" i="38" s="1"/>
  <c r="B154" i="19"/>
  <c r="H152" i="29"/>
  <c r="I152" i="29"/>
  <c r="D152" i="21"/>
  <c r="G151" i="21"/>
  <c r="I153" i="19"/>
  <c r="H153" i="19"/>
  <c r="G148" i="13"/>
  <c r="D149" i="13"/>
  <c r="D148" i="34"/>
  <c r="G147" i="34"/>
  <c r="E153" i="29"/>
  <c r="F153" i="29" s="1"/>
  <c r="E154" i="19"/>
  <c r="F154" i="19" s="1"/>
  <c r="B155" i="3"/>
  <c r="E155" i="3"/>
  <c r="E156" i="3" s="1"/>
  <c r="B151" i="22"/>
  <c r="B148" i="20"/>
  <c r="H147" i="20"/>
  <c r="I147" i="20"/>
  <c r="H150" i="22"/>
  <c r="I150" i="22"/>
  <c r="I155" i="23"/>
  <c r="H155" i="23"/>
  <c r="H156" i="23" s="1"/>
  <c r="E148" i="20"/>
  <c r="F148" i="20" s="1"/>
  <c r="E151" i="22"/>
  <c r="F151" i="22" s="1"/>
  <c r="I154" i="3"/>
  <c r="H154" i="3"/>
  <c r="J153" i="18" l="1"/>
  <c r="H65" i="34"/>
  <c r="H65" i="31"/>
  <c r="I65" i="31" s="1"/>
  <c r="J147" i="31"/>
  <c r="D155" i="18"/>
  <c r="B155" i="18" s="1"/>
  <c r="I154" i="18"/>
  <c r="J154" i="18" s="1"/>
  <c r="E72" i="24"/>
  <c r="F72" i="24" s="1"/>
  <c r="B72" i="24"/>
  <c r="J150" i="26"/>
  <c r="D152" i="26"/>
  <c r="G151" i="26"/>
  <c r="G69" i="27"/>
  <c r="I69" i="27" s="1"/>
  <c r="J150" i="22"/>
  <c r="H63" i="38"/>
  <c r="I63" i="38" s="1"/>
  <c r="G67" i="25"/>
  <c r="I67" i="25" s="1"/>
  <c r="H69" i="23"/>
  <c r="I69" i="23" s="1"/>
  <c r="D70" i="28"/>
  <c r="E70" i="28" s="1"/>
  <c r="H69" i="28"/>
  <c r="G69" i="28"/>
  <c r="D68" i="13"/>
  <c r="E68" i="13" s="1"/>
  <c r="D69" i="26"/>
  <c r="E69" i="26" s="1"/>
  <c r="B69" i="22"/>
  <c r="F69" i="22"/>
  <c r="G69" i="22" s="1"/>
  <c r="H67" i="13"/>
  <c r="I67" i="13" s="1"/>
  <c r="H68" i="26"/>
  <c r="I68" i="26" s="1"/>
  <c r="D149" i="35"/>
  <c r="G148" i="35"/>
  <c r="B73" i="4"/>
  <c r="D70" i="23"/>
  <c r="E70" i="23" s="1"/>
  <c r="I65" i="34"/>
  <c r="D67" i="29"/>
  <c r="E67" i="29" s="1"/>
  <c r="D70" i="27"/>
  <c r="E70" i="27" s="1"/>
  <c r="D64" i="38"/>
  <c r="E64" i="38" s="1"/>
  <c r="G66" i="29"/>
  <c r="D66" i="35"/>
  <c r="B72" i="19"/>
  <c r="F72" i="19"/>
  <c r="G72" i="19" s="1"/>
  <c r="D66" i="34"/>
  <c r="E66" i="34" s="1"/>
  <c r="H66" i="29"/>
  <c r="F72" i="18"/>
  <c r="H72" i="18" s="1"/>
  <c r="B72" i="18"/>
  <c r="D65" i="37"/>
  <c r="E65" i="37" s="1"/>
  <c r="G64" i="37"/>
  <c r="I73" i="3"/>
  <c r="I74" i="3" s="1"/>
  <c r="I72" i="4"/>
  <c r="G65" i="35"/>
  <c r="I65" i="35" s="1"/>
  <c r="D68" i="25"/>
  <c r="E68" i="25" s="1"/>
  <c r="F70" i="21"/>
  <c r="H70" i="21" s="1"/>
  <c r="B70" i="21"/>
  <c r="D66" i="31"/>
  <c r="E66" i="31" s="1"/>
  <c r="H64" i="37"/>
  <c r="E73" i="4"/>
  <c r="E74" i="4" s="1"/>
  <c r="J154" i="4"/>
  <c r="F155" i="4"/>
  <c r="G155" i="4" s="1"/>
  <c r="D148" i="37"/>
  <c r="G147" i="37"/>
  <c r="G148" i="31"/>
  <c r="D149" i="31"/>
  <c r="J153" i="19"/>
  <c r="G154" i="19"/>
  <c r="D155" i="19"/>
  <c r="E155" i="19" s="1"/>
  <c r="E156" i="19" s="1"/>
  <c r="G153" i="29"/>
  <c r="D154" i="29"/>
  <c r="B152" i="21"/>
  <c r="B149" i="13"/>
  <c r="B152" i="24"/>
  <c r="F152" i="24"/>
  <c r="B148" i="34"/>
  <c r="H148" i="13"/>
  <c r="I148" i="13"/>
  <c r="J152" i="28"/>
  <c r="H147" i="34"/>
  <c r="I147" i="34"/>
  <c r="E149" i="13"/>
  <c r="F149" i="13" s="1"/>
  <c r="B152" i="27"/>
  <c r="F152" i="27"/>
  <c r="B148" i="38"/>
  <c r="F148" i="38"/>
  <c r="H147" i="38"/>
  <c r="I147" i="38"/>
  <c r="H151" i="27"/>
  <c r="I151" i="27"/>
  <c r="F152" i="25"/>
  <c r="B152" i="25"/>
  <c r="H151" i="21"/>
  <c r="I151" i="21"/>
  <c r="G153" i="28"/>
  <c r="D154" i="28"/>
  <c r="E154" i="28" s="1"/>
  <c r="I151" i="24"/>
  <c r="H151" i="24"/>
  <c r="E148" i="34"/>
  <c r="F148" i="34" s="1"/>
  <c r="E152" i="21"/>
  <c r="F152" i="21" s="1"/>
  <c r="H151" i="25"/>
  <c r="I151" i="25"/>
  <c r="G151" i="22"/>
  <c r="D152" i="22"/>
  <c r="J155" i="23"/>
  <c r="J156" i="23" s="1"/>
  <c r="I156" i="23"/>
  <c r="J154" i="3"/>
  <c r="D149" i="20"/>
  <c r="G148" i="20"/>
  <c r="J147" i="20"/>
  <c r="F155" i="3"/>
  <c r="G155" i="3" s="1"/>
  <c r="E155" i="18" l="1"/>
  <c r="E156" i="18" s="1"/>
  <c r="D73" i="24"/>
  <c r="B73" i="24" s="1"/>
  <c r="H72" i="24"/>
  <c r="G72" i="24"/>
  <c r="F155" i="18"/>
  <c r="G155" i="18" s="1"/>
  <c r="H155" i="18" s="1"/>
  <c r="H156" i="18" s="1"/>
  <c r="I151" i="26"/>
  <c r="H151" i="26"/>
  <c r="E152" i="26"/>
  <c r="F152" i="26" s="1"/>
  <c r="B152" i="26"/>
  <c r="G72" i="18"/>
  <c r="I72" i="18" s="1"/>
  <c r="G70" i="21"/>
  <c r="I70" i="21" s="1"/>
  <c r="I66" i="29"/>
  <c r="B66" i="35"/>
  <c r="D71" i="21"/>
  <c r="E71" i="21" s="1"/>
  <c r="F73" i="4"/>
  <c r="D70" i="22"/>
  <c r="B66" i="34"/>
  <c r="F66" i="34"/>
  <c r="H66" i="34" s="1"/>
  <c r="F67" i="29"/>
  <c r="I148" i="35"/>
  <c r="H148" i="35"/>
  <c r="I64" i="37"/>
  <c r="F65" i="37"/>
  <c r="H65" i="37" s="1"/>
  <c r="B65" i="37"/>
  <c r="H72" i="19"/>
  <c r="I72" i="19" s="1"/>
  <c r="E149" i="35"/>
  <c r="F149" i="35" s="1"/>
  <c r="B149" i="35"/>
  <c r="B68" i="25"/>
  <c r="F68" i="25"/>
  <c r="G68" i="25" s="1"/>
  <c r="D73" i="19"/>
  <c r="E73" i="19" s="1"/>
  <c r="E74" i="19" s="1"/>
  <c r="B64" i="38"/>
  <c r="F64" i="38"/>
  <c r="G64" i="38" s="1"/>
  <c r="F70" i="23"/>
  <c r="H70" i="23" s="1"/>
  <c r="B70" i="23"/>
  <c r="F69" i="26"/>
  <c r="H69" i="26" s="1"/>
  <c r="B69" i="26"/>
  <c r="I69" i="28"/>
  <c r="F66" i="31"/>
  <c r="G66" i="31" s="1"/>
  <c r="B66" i="31"/>
  <c r="D73" i="18"/>
  <c r="E73" i="18" s="1"/>
  <c r="E74" i="18" s="1"/>
  <c r="E66" i="35"/>
  <c r="F66" i="35" s="1"/>
  <c r="B70" i="27"/>
  <c r="F70" i="27"/>
  <c r="G70" i="27" s="1"/>
  <c r="H69" i="22"/>
  <c r="I69" i="22" s="1"/>
  <c r="B68" i="13"/>
  <c r="F68" i="13"/>
  <c r="H68" i="13" s="1"/>
  <c r="F70" i="28"/>
  <c r="H70" i="28" s="1"/>
  <c r="B70" i="28"/>
  <c r="H147" i="37"/>
  <c r="I147" i="37"/>
  <c r="E148" i="37"/>
  <c r="F148" i="37" s="1"/>
  <c r="B148" i="37"/>
  <c r="J151" i="24"/>
  <c r="H155" i="4"/>
  <c r="H156" i="4" s="1"/>
  <c r="I155" i="4"/>
  <c r="J151" i="21"/>
  <c r="E149" i="31"/>
  <c r="F149" i="31" s="1"/>
  <c r="B149" i="31"/>
  <c r="H148" i="31"/>
  <c r="I148" i="31"/>
  <c r="J151" i="27"/>
  <c r="G149" i="13"/>
  <c r="D150" i="13"/>
  <c r="D149" i="34"/>
  <c r="E149" i="34" s="1"/>
  <c r="G148" i="34"/>
  <c r="G152" i="25"/>
  <c r="D153" i="25"/>
  <c r="G152" i="24"/>
  <c r="D153" i="24"/>
  <c r="E153" i="24" s="1"/>
  <c r="I153" i="29"/>
  <c r="H153" i="29"/>
  <c r="F155" i="19"/>
  <c r="G155" i="19" s="1"/>
  <c r="B155" i="19"/>
  <c r="F154" i="28"/>
  <c r="B154" i="28"/>
  <c r="D153" i="27"/>
  <c r="E153" i="27" s="1"/>
  <c r="G152" i="27"/>
  <c r="I154" i="19"/>
  <c r="H154" i="19"/>
  <c r="G152" i="21"/>
  <c r="D153" i="21"/>
  <c r="H153" i="28"/>
  <c r="I153" i="28"/>
  <c r="D149" i="38"/>
  <c r="G148" i="38"/>
  <c r="E154" i="29"/>
  <c r="F154" i="29" s="1"/>
  <c r="H148" i="20"/>
  <c r="I148" i="20"/>
  <c r="B152" i="22"/>
  <c r="I151" i="22"/>
  <c r="H151" i="22"/>
  <c r="B149" i="20"/>
  <c r="H155" i="3"/>
  <c r="H156" i="3" s="1"/>
  <c r="I155" i="3"/>
  <c r="E149" i="20"/>
  <c r="F149" i="20" s="1"/>
  <c r="E152" i="22"/>
  <c r="F152" i="22" s="1"/>
  <c r="E73" i="24" l="1"/>
  <c r="E74" i="24" s="1"/>
  <c r="I155" i="18"/>
  <c r="I72" i="24"/>
  <c r="G152" i="26"/>
  <c r="D153" i="26"/>
  <c r="J151" i="26"/>
  <c r="G70" i="28"/>
  <c r="I70" i="28" s="1"/>
  <c r="G70" i="23"/>
  <c r="H64" i="38"/>
  <c r="I64" i="38" s="1"/>
  <c r="H66" i="31"/>
  <c r="I66" i="31" s="1"/>
  <c r="H70" i="27"/>
  <c r="I70" i="27" s="1"/>
  <c r="D67" i="35"/>
  <c r="E67" i="35" s="1"/>
  <c r="G66" i="35"/>
  <c r="H66" i="35"/>
  <c r="B70" i="22"/>
  <c r="D69" i="25"/>
  <c r="E69" i="25" s="1"/>
  <c r="D66" i="37"/>
  <c r="E66" i="37" s="1"/>
  <c r="D67" i="34"/>
  <c r="E67" i="34" s="1"/>
  <c r="H73" i="4"/>
  <c r="G73" i="4"/>
  <c r="G74" i="4" s="1"/>
  <c r="F73" i="18"/>
  <c r="H73" i="18" s="1"/>
  <c r="B73" i="18"/>
  <c r="D70" i="26"/>
  <c r="E70" i="26" s="1"/>
  <c r="D65" i="38"/>
  <c r="E65" i="38" s="1"/>
  <c r="D150" i="35"/>
  <c r="G149" i="35"/>
  <c r="B71" i="21"/>
  <c r="F71" i="21"/>
  <c r="H71" i="21" s="1"/>
  <c r="D68" i="29"/>
  <c r="E68" i="29" s="1"/>
  <c r="G69" i="26"/>
  <c r="I69" i="26" s="1"/>
  <c r="G66" i="34"/>
  <c r="I66" i="34" s="1"/>
  <c r="I70" i="23"/>
  <c r="D71" i="27"/>
  <c r="E71" i="27" s="1"/>
  <c r="B73" i="19"/>
  <c r="F73" i="19"/>
  <c r="H73" i="19" s="1"/>
  <c r="G67" i="29"/>
  <c r="D69" i="13"/>
  <c r="E69" i="13" s="1"/>
  <c r="G68" i="13"/>
  <c r="I68" i="13" s="1"/>
  <c r="J148" i="31"/>
  <c r="D71" i="28"/>
  <c r="D67" i="31"/>
  <c r="E67" i="31" s="1"/>
  <c r="D71" i="23"/>
  <c r="E71" i="23" s="1"/>
  <c r="H68" i="25"/>
  <c r="I68" i="25" s="1"/>
  <c r="G65" i="37"/>
  <c r="I65" i="37" s="1"/>
  <c r="H67" i="29"/>
  <c r="E70" i="22"/>
  <c r="F70" i="22" s="1"/>
  <c r="G148" i="37"/>
  <c r="D149" i="37"/>
  <c r="J155" i="4"/>
  <c r="J156" i="4" s="1"/>
  <c r="I156" i="4"/>
  <c r="J154" i="19"/>
  <c r="J148" i="20"/>
  <c r="G149" i="31"/>
  <c r="D150" i="31"/>
  <c r="E150" i="31" s="1"/>
  <c r="J153" i="28"/>
  <c r="G154" i="29"/>
  <c r="D155" i="29"/>
  <c r="E155" i="29" s="1"/>
  <c r="E156" i="29" s="1"/>
  <c r="B153" i="21"/>
  <c r="H148" i="38"/>
  <c r="I148" i="38"/>
  <c r="I155" i="19"/>
  <c r="H155" i="19"/>
  <c r="H156" i="19" s="1"/>
  <c r="B153" i="24"/>
  <c r="F153" i="24"/>
  <c r="I152" i="25"/>
  <c r="H152" i="25"/>
  <c r="B149" i="38"/>
  <c r="I152" i="24"/>
  <c r="H152" i="24"/>
  <c r="H148" i="34"/>
  <c r="I148" i="34"/>
  <c r="E149" i="38"/>
  <c r="F149" i="38" s="1"/>
  <c r="B149" i="34"/>
  <c r="F149" i="34"/>
  <c r="I152" i="21"/>
  <c r="H152" i="21"/>
  <c r="H152" i="27"/>
  <c r="I152" i="27"/>
  <c r="B150" i="13"/>
  <c r="G154" i="28"/>
  <c r="D155" i="28"/>
  <c r="E155" i="28" s="1"/>
  <c r="E156" i="28" s="1"/>
  <c r="F153" i="27"/>
  <c r="B153" i="27"/>
  <c r="B153" i="25"/>
  <c r="H149" i="13"/>
  <c r="I149" i="13"/>
  <c r="E153" i="21"/>
  <c r="F153" i="21" s="1"/>
  <c r="E153" i="25"/>
  <c r="F153" i="25" s="1"/>
  <c r="E150" i="13"/>
  <c r="F150" i="13" s="1"/>
  <c r="G152" i="22"/>
  <c r="D153" i="22"/>
  <c r="E153" i="22" s="1"/>
  <c r="G149" i="20"/>
  <c r="D150" i="20"/>
  <c r="J151" i="22"/>
  <c r="J155" i="18"/>
  <c r="J156" i="18" s="1"/>
  <c r="I156" i="18"/>
  <c r="J155" i="3"/>
  <c r="J156" i="3" s="1"/>
  <c r="I156" i="3"/>
  <c r="F73" i="24" l="1"/>
  <c r="E153" i="26"/>
  <c r="F153" i="26" s="1"/>
  <c r="B153" i="26"/>
  <c r="I152" i="26"/>
  <c r="H152" i="26"/>
  <c r="G73" i="18"/>
  <c r="G74" i="18" s="1"/>
  <c r="I67" i="29"/>
  <c r="G73" i="19"/>
  <c r="G74" i="19" s="1"/>
  <c r="G71" i="21"/>
  <c r="I71" i="21" s="1"/>
  <c r="I66" i="35"/>
  <c r="D71" i="22"/>
  <c r="E71" i="22" s="1"/>
  <c r="G70" i="22"/>
  <c r="H70" i="22"/>
  <c r="I73" i="4"/>
  <c r="I74" i="4" s="1"/>
  <c r="H74" i="4"/>
  <c r="H149" i="35"/>
  <c r="I149" i="35"/>
  <c r="E150" i="35"/>
  <c r="F150" i="35" s="1"/>
  <c r="B150" i="35"/>
  <c r="B67" i="34"/>
  <c r="F67" i="34"/>
  <c r="B71" i="23"/>
  <c r="F71" i="23"/>
  <c r="H71" i="23" s="1"/>
  <c r="F68" i="29"/>
  <c r="G68" i="29" s="1"/>
  <c r="B71" i="28"/>
  <c r="I73" i="18"/>
  <c r="I74" i="18" s="1"/>
  <c r="H74" i="18"/>
  <c r="B69" i="13"/>
  <c r="F69" i="13"/>
  <c r="H69" i="13" s="1"/>
  <c r="F65" i="38"/>
  <c r="G65" i="38" s="1"/>
  <c r="B65" i="38"/>
  <c r="B66" i="37"/>
  <c r="F66" i="37"/>
  <c r="G66" i="37" s="1"/>
  <c r="B71" i="27"/>
  <c r="F71" i="27"/>
  <c r="H71" i="27" s="1"/>
  <c r="H74" i="19"/>
  <c r="B67" i="31"/>
  <c r="F67" i="31"/>
  <c r="H67" i="31" s="1"/>
  <c r="D72" i="21"/>
  <c r="E72" i="21" s="1"/>
  <c r="B70" i="26"/>
  <c r="F70" i="26"/>
  <c r="G70" i="26" s="1"/>
  <c r="B69" i="25"/>
  <c r="F69" i="25"/>
  <c r="H69" i="25" s="1"/>
  <c r="E71" i="28"/>
  <c r="F71" i="28" s="1"/>
  <c r="B67" i="35"/>
  <c r="F67" i="35"/>
  <c r="H67" i="35" s="1"/>
  <c r="E149" i="37"/>
  <c r="F149" i="37" s="1"/>
  <c r="B149" i="37"/>
  <c r="H148" i="37"/>
  <c r="I148" i="37"/>
  <c r="J152" i="24"/>
  <c r="F150" i="31"/>
  <c r="B150" i="31"/>
  <c r="I149" i="31"/>
  <c r="H149" i="31"/>
  <c r="J152" i="27"/>
  <c r="D154" i="21"/>
  <c r="E154" i="21" s="1"/>
  <c r="G153" i="21"/>
  <c r="D154" i="25"/>
  <c r="E154" i="25" s="1"/>
  <c r="G153" i="25"/>
  <c r="G150" i="13"/>
  <c r="D151" i="13"/>
  <c r="E151" i="13" s="1"/>
  <c r="J152" i="21"/>
  <c r="G153" i="27"/>
  <c r="D154" i="27"/>
  <c r="E154" i="27" s="1"/>
  <c r="G149" i="34"/>
  <c r="D150" i="34"/>
  <c r="D150" i="38"/>
  <c r="E150" i="38" s="1"/>
  <c r="G149" i="38"/>
  <c r="B155" i="28"/>
  <c r="F155" i="28"/>
  <c r="G155" i="28" s="1"/>
  <c r="I154" i="28"/>
  <c r="H154" i="28"/>
  <c r="G153" i="24"/>
  <c r="D154" i="24"/>
  <c r="E154" i="24" s="1"/>
  <c r="F155" i="29"/>
  <c r="G155" i="29" s="1"/>
  <c r="J155" i="19"/>
  <c r="J156" i="19" s="1"/>
  <c r="I156" i="19"/>
  <c r="I154" i="29"/>
  <c r="H154" i="29"/>
  <c r="H149" i="20"/>
  <c r="I149" i="20"/>
  <c r="B150" i="20"/>
  <c r="E150" i="20"/>
  <c r="F150" i="20" s="1"/>
  <c r="B153" i="22"/>
  <c r="F153" i="22"/>
  <c r="H152" i="22"/>
  <c r="I152" i="22"/>
  <c r="H73" i="24" l="1"/>
  <c r="G73" i="24"/>
  <c r="G74" i="24" s="1"/>
  <c r="J152" i="26"/>
  <c r="D154" i="26"/>
  <c r="G153" i="26"/>
  <c r="I73" i="19"/>
  <c r="I74" i="19" s="1"/>
  <c r="I70" i="22"/>
  <c r="H70" i="26"/>
  <c r="I70" i="26" s="1"/>
  <c r="H65" i="38"/>
  <c r="I65" i="38" s="1"/>
  <c r="G71" i="23"/>
  <c r="I71" i="23" s="1"/>
  <c r="D72" i="28"/>
  <c r="E72" i="28" s="1"/>
  <c r="H71" i="28"/>
  <c r="G71" i="28"/>
  <c r="H66" i="37"/>
  <c r="I66" i="37" s="1"/>
  <c r="D70" i="13"/>
  <c r="E70" i="13" s="1"/>
  <c r="D68" i="34"/>
  <c r="E68" i="34" s="1"/>
  <c r="G67" i="34"/>
  <c r="D70" i="25"/>
  <c r="B72" i="21"/>
  <c r="F72" i="21"/>
  <c r="H72" i="21" s="1"/>
  <c r="D72" i="27"/>
  <c r="E72" i="27" s="1"/>
  <c r="G69" i="13"/>
  <c r="I69" i="13" s="1"/>
  <c r="D69" i="29"/>
  <c r="E69" i="29" s="1"/>
  <c r="D67" i="37"/>
  <c r="E67" i="37" s="1"/>
  <c r="G67" i="31"/>
  <c r="I67" i="31" s="1"/>
  <c r="G71" i="27"/>
  <c r="I71" i="27" s="1"/>
  <c r="H68" i="29"/>
  <c r="I68" i="29" s="1"/>
  <c r="H67" i="34"/>
  <c r="D68" i="35"/>
  <c r="E68" i="35" s="1"/>
  <c r="G69" i="25"/>
  <c r="I69" i="25" s="1"/>
  <c r="D71" i="26"/>
  <c r="E71" i="26" s="1"/>
  <c r="D68" i="31"/>
  <c r="E68" i="31" s="1"/>
  <c r="D72" i="23"/>
  <c r="E72" i="23" s="1"/>
  <c r="D151" i="35"/>
  <c r="G150" i="35"/>
  <c r="G67" i="35"/>
  <c r="I67" i="35" s="1"/>
  <c r="D66" i="38"/>
  <c r="E66" i="38" s="1"/>
  <c r="B71" i="22"/>
  <c r="F71" i="22"/>
  <c r="H71" i="22" s="1"/>
  <c r="D150" i="37"/>
  <c r="G149" i="37"/>
  <c r="J149" i="31"/>
  <c r="G150" i="31"/>
  <c r="D151" i="31"/>
  <c r="J154" i="28"/>
  <c r="B150" i="34"/>
  <c r="H149" i="34"/>
  <c r="I149" i="34"/>
  <c r="I153" i="25"/>
  <c r="H153" i="25"/>
  <c r="E150" i="34"/>
  <c r="F150" i="34" s="1"/>
  <c r="H150" i="13"/>
  <c r="I150" i="13"/>
  <c r="I155" i="28"/>
  <c r="H155" i="28"/>
  <c r="H156" i="28" s="1"/>
  <c r="B154" i="27"/>
  <c r="F154" i="27"/>
  <c r="F154" i="25"/>
  <c r="B154" i="25"/>
  <c r="F154" i="24"/>
  <c r="B154" i="24"/>
  <c r="H149" i="38"/>
  <c r="I149" i="38"/>
  <c r="H153" i="27"/>
  <c r="I153" i="27"/>
  <c r="J149" i="20"/>
  <c r="H153" i="24"/>
  <c r="I153" i="24"/>
  <c r="I153" i="21"/>
  <c r="H153" i="21"/>
  <c r="I155" i="29"/>
  <c r="I156" i="29" s="1"/>
  <c r="H155" i="29"/>
  <c r="H156" i="29" s="1"/>
  <c r="B150" i="38"/>
  <c r="F150" i="38"/>
  <c r="B151" i="13"/>
  <c r="F151" i="13"/>
  <c r="B154" i="21"/>
  <c r="F154" i="21"/>
  <c r="G150" i="20"/>
  <c r="D151" i="20"/>
  <c r="D154" i="22"/>
  <c r="E154" i="22" s="1"/>
  <c r="G153" i="22"/>
  <c r="J152" i="22"/>
  <c r="H74" i="24" l="1"/>
  <c r="I73" i="24"/>
  <c r="I74" i="24" s="1"/>
  <c r="I153" i="26"/>
  <c r="H153" i="26"/>
  <c r="B154" i="26"/>
  <c r="E154" i="26"/>
  <c r="F154" i="26" s="1"/>
  <c r="I67" i="34"/>
  <c r="G72" i="21"/>
  <c r="I72" i="21" s="1"/>
  <c r="B70" i="25"/>
  <c r="B68" i="31"/>
  <c r="F68" i="31"/>
  <c r="H68" i="31" s="1"/>
  <c r="F72" i="27"/>
  <c r="G72" i="27" s="1"/>
  <c r="B72" i="27"/>
  <c r="B66" i="38"/>
  <c r="F66" i="38"/>
  <c r="B71" i="26"/>
  <c r="F71" i="26"/>
  <c r="G71" i="26" s="1"/>
  <c r="B68" i="34"/>
  <c r="F68" i="34"/>
  <c r="G68" i="34" s="1"/>
  <c r="I71" i="28"/>
  <c r="H150" i="35"/>
  <c r="I150" i="35"/>
  <c r="F67" i="37"/>
  <c r="H67" i="37" s="1"/>
  <c r="B67" i="37"/>
  <c r="D73" i="21"/>
  <c r="E73" i="21" s="1"/>
  <c r="E74" i="21" s="1"/>
  <c r="D72" i="22"/>
  <c r="E72" i="22" s="1"/>
  <c r="E151" i="35"/>
  <c r="F151" i="35" s="1"/>
  <c r="B151" i="35"/>
  <c r="B70" i="13"/>
  <c r="F70" i="13"/>
  <c r="G70" i="13" s="1"/>
  <c r="F72" i="28"/>
  <c r="H72" i="28" s="1"/>
  <c r="B72" i="28"/>
  <c r="G71" i="22"/>
  <c r="I71" i="22" s="1"/>
  <c r="B72" i="23"/>
  <c r="F72" i="23"/>
  <c r="G72" i="23" s="1"/>
  <c r="F68" i="35"/>
  <c r="G68" i="35" s="1"/>
  <c r="B68" i="35"/>
  <c r="F69" i="29"/>
  <c r="G69" i="29" s="1"/>
  <c r="E70" i="25"/>
  <c r="F70" i="25" s="1"/>
  <c r="I149" i="37"/>
  <c r="H149" i="37"/>
  <c r="E150" i="37"/>
  <c r="F150" i="37" s="1"/>
  <c r="B150" i="37"/>
  <c r="B151" i="31"/>
  <c r="H150" i="31"/>
  <c r="I150" i="31"/>
  <c r="E151" i="31"/>
  <c r="F151" i="31" s="1"/>
  <c r="J153" i="24"/>
  <c r="G150" i="34"/>
  <c r="D151" i="34"/>
  <c r="E151" i="34" s="1"/>
  <c r="D155" i="21"/>
  <c r="E155" i="21" s="1"/>
  <c r="E156" i="21" s="1"/>
  <c r="G154" i="21"/>
  <c r="J153" i="27"/>
  <c r="G154" i="25"/>
  <c r="D155" i="25"/>
  <c r="E155" i="25" s="1"/>
  <c r="E156" i="25" s="1"/>
  <c r="D155" i="27"/>
  <c r="E155" i="27" s="1"/>
  <c r="E156" i="27" s="1"/>
  <c r="G154" i="27"/>
  <c r="D151" i="38"/>
  <c r="E151" i="38" s="1"/>
  <c r="G150" i="38"/>
  <c r="J153" i="21"/>
  <c r="G154" i="24"/>
  <c r="D155" i="24"/>
  <c r="E155" i="24" s="1"/>
  <c r="E156" i="24" s="1"/>
  <c r="G151" i="13"/>
  <c r="D152" i="13"/>
  <c r="J155" i="28"/>
  <c r="J156" i="28" s="1"/>
  <c r="I156" i="28"/>
  <c r="B154" i="22"/>
  <c r="F154" i="22"/>
  <c r="I150" i="20"/>
  <c r="H150" i="20"/>
  <c r="I153" i="22"/>
  <c r="H153" i="22"/>
  <c r="B151" i="20"/>
  <c r="E151" i="20"/>
  <c r="F151" i="20" s="1"/>
  <c r="D155" i="26" l="1"/>
  <c r="G154" i="26"/>
  <c r="J153" i="26"/>
  <c r="J150" i="31"/>
  <c r="G67" i="37"/>
  <c r="I67" i="37" s="1"/>
  <c r="H68" i="35"/>
  <c r="I68" i="35" s="1"/>
  <c r="H69" i="29"/>
  <c r="I69" i="29" s="1"/>
  <c r="H68" i="34"/>
  <c r="I68" i="34" s="1"/>
  <c r="H70" i="13"/>
  <c r="I70" i="13" s="1"/>
  <c r="H72" i="27"/>
  <c r="I72" i="27" s="1"/>
  <c r="D71" i="25"/>
  <c r="E71" i="25" s="1"/>
  <c r="H70" i="25"/>
  <c r="G70" i="25"/>
  <c r="D67" i="38"/>
  <c r="E67" i="38" s="1"/>
  <c r="D152" i="35"/>
  <c r="G151" i="35"/>
  <c r="D69" i="31"/>
  <c r="E69" i="31" s="1"/>
  <c r="G66" i="38"/>
  <c r="D69" i="35"/>
  <c r="E69" i="35" s="1"/>
  <c r="D73" i="28"/>
  <c r="E73" i="28" s="1"/>
  <c r="E74" i="28" s="1"/>
  <c r="D68" i="37"/>
  <c r="E68" i="37" s="1"/>
  <c r="G72" i="28"/>
  <c r="I72" i="28" s="1"/>
  <c r="D72" i="26"/>
  <c r="E72" i="26" s="1"/>
  <c r="D73" i="23"/>
  <c r="F72" i="22"/>
  <c r="G72" i="22" s="1"/>
  <c r="B72" i="22"/>
  <c r="D70" i="29"/>
  <c r="E70" i="29" s="1"/>
  <c r="D71" i="13"/>
  <c r="E71" i="13" s="1"/>
  <c r="H71" i="26"/>
  <c r="I71" i="26" s="1"/>
  <c r="D73" i="27"/>
  <c r="E73" i="27" s="1"/>
  <c r="E74" i="27" s="1"/>
  <c r="H72" i="23"/>
  <c r="I72" i="23" s="1"/>
  <c r="F73" i="21"/>
  <c r="H73" i="21" s="1"/>
  <c r="B73" i="21"/>
  <c r="D69" i="34"/>
  <c r="E69" i="34" s="1"/>
  <c r="H66" i="38"/>
  <c r="G68" i="31"/>
  <c r="I68" i="31" s="1"/>
  <c r="D151" i="37"/>
  <c r="G150" i="37"/>
  <c r="D152" i="31"/>
  <c r="E152" i="31" s="1"/>
  <c r="G151" i="31"/>
  <c r="H150" i="38"/>
  <c r="I150" i="38"/>
  <c r="I154" i="24"/>
  <c r="H154" i="24"/>
  <c r="I154" i="25"/>
  <c r="H154" i="25"/>
  <c r="H154" i="21"/>
  <c r="I154" i="21"/>
  <c r="F155" i="24"/>
  <c r="G155" i="24" s="1"/>
  <c r="B155" i="24"/>
  <c r="F155" i="21"/>
  <c r="G155" i="21" s="1"/>
  <c r="B155" i="21"/>
  <c r="F151" i="38"/>
  <c r="B151" i="38"/>
  <c r="H151" i="13"/>
  <c r="I151" i="13"/>
  <c r="H154" i="27"/>
  <c r="I154" i="27"/>
  <c r="F151" i="34"/>
  <c r="B151" i="34"/>
  <c r="B155" i="25"/>
  <c r="F155" i="25"/>
  <c r="G155" i="25" s="1"/>
  <c r="B152" i="13"/>
  <c r="E152" i="13"/>
  <c r="F152" i="13" s="1"/>
  <c r="F155" i="27"/>
  <c r="G155" i="27" s="1"/>
  <c r="B155" i="27"/>
  <c r="H150" i="34"/>
  <c r="I150" i="34"/>
  <c r="G151" i="20"/>
  <c r="D152" i="20"/>
  <c r="D155" i="22"/>
  <c r="E155" i="22" s="1"/>
  <c r="E156" i="22" s="1"/>
  <c r="G154" i="22"/>
  <c r="J153" i="22"/>
  <c r="J150" i="20"/>
  <c r="I154" i="26" l="1"/>
  <c r="H154" i="26"/>
  <c r="E155" i="26"/>
  <c r="E156" i="26" s="1"/>
  <c r="B155" i="26"/>
  <c r="J154" i="21"/>
  <c r="I66" i="38"/>
  <c r="H72" i="22"/>
  <c r="I72" i="22" s="1"/>
  <c r="H74" i="21"/>
  <c r="G73" i="21"/>
  <c r="G74" i="21" s="1"/>
  <c r="F69" i="35"/>
  <c r="H69" i="35" s="1"/>
  <c r="B69" i="35"/>
  <c r="F70" i="29"/>
  <c r="B72" i="26"/>
  <c r="F72" i="26"/>
  <c r="G72" i="26" s="1"/>
  <c r="B67" i="38"/>
  <c r="F67" i="38"/>
  <c r="B73" i="27"/>
  <c r="F73" i="27"/>
  <c r="H73" i="27" s="1"/>
  <c r="B68" i="37"/>
  <c r="F68" i="37"/>
  <c r="G68" i="37" s="1"/>
  <c r="F69" i="31"/>
  <c r="H69" i="31" s="1"/>
  <c r="B69" i="31"/>
  <c r="I70" i="25"/>
  <c r="B73" i="23"/>
  <c r="B69" i="34"/>
  <c r="F69" i="34"/>
  <c r="H69" i="34" s="1"/>
  <c r="D73" i="22"/>
  <c r="H151" i="35"/>
  <c r="I151" i="35"/>
  <c r="F71" i="13"/>
  <c r="H71" i="13" s="1"/>
  <c r="B71" i="13"/>
  <c r="E73" i="23"/>
  <c r="E74" i="23" s="1"/>
  <c r="B73" i="28"/>
  <c r="F73" i="28"/>
  <c r="H73" i="28" s="1"/>
  <c r="E152" i="35"/>
  <c r="F152" i="35" s="1"/>
  <c r="B152" i="35"/>
  <c r="F71" i="25"/>
  <c r="H71" i="25" s="1"/>
  <c r="B71" i="25"/>
  <c r="I150" i="37"/>
  <c r="H150" i="37"/>
  <c r="E151" i="37"/>
  <c r="F151" i="37" s="1"/>
  <c r="B151" i="37"/>
  <c r="H151" i="31"/>
  <c r="I151" i="31"/>
  <c r="B152" i="31"/>
  <c r="F152" i="31"/>
  <c r="J154" i="24"/>
  <c r="J154" i="27"/>
  <c r="G152" i="13"/>
  <c r="D153" i="13"/>
  <c r="E153" i="13" s="1"/>
  <c r="G151" i="34"/>
  <c r="D152" i="34"/>
  <c r="H155" i="25"/>
  <c r="H156" i="25" s="1"/>
  <c r="I155" i="25"/>
  <c r="I156" i="25" s="1"/>
  <c r="H155" i="27"/>
  <c r="H156" i="27" s="1"/>
  <c r="I155" i="27"/>
  <c r="G151" i="38"/>
  <c r="D152" i="38"/>
  <c r="E152" i="38" s="1"/>
  <c r="H155" i="21"/>
  <c r="H156" i="21" s="1"/>
  <c r="I155" i="21"/>
  <c r="I155" i="24"/>
  <c r="H155" i="24"/>
  <c r="H156" i="24" s="1"/>
  <c r="H154" i="22"/>
  <c r="I154" i="22"/>
  <c r="B152" i="20"/>
  <c r="F155" i="22"/>
  <c r="G155" i="22" s="1"/>
  <c r="B155" i="22"/>
  <c r="E152" i="20"/>
  <c r="F152" i="20" s="1"/>
  <c r="H151" i="20"/>
  <c r="I151" i="20"/>
  <c r="J151" i="31" l="1"/>
  <c r="G69" i="31"/>
  <c r="I69" i="31" s="1"/>
  <c r="F155" i="26"/>
  <c r="G155" i="26" s="1"/>
  <c r="J154" i="26"/>
  <c r="J154" i="22"/>
  <c r="G71" i="13"/>
  <c r="I71" i="13" s="1"/>
  <c r="G69" i="34"/>
  <c r="H68" i="37"/>
  <c r="I68" i="37" s="1"/>
  <c r="G73" i="28"/>
  <c r="G74" i="28" s="1"/>
  <c r="H74" i="27"/>
  <c r="H74" i="28"/>
  <c r="D68" i="38"/>
  <c r="E68" i="38" s="1"/>
  <c r="G152" i="35"/>
  <c r="D153" i="35"/>
  <c r="I69" i="34"/>
  <c r="D72" i="13"/>
  <c r="D70" i="34"/>
  <c r="E70" i="34" s="1"/>
  <c r="G73" i="27"/>
  <c r="G74" i="27" s="1"/>
  <c r="D73" i="26"/>
  <c r="E73" i="26" s="1"/>
  <c r="E74" i="26" s="1"/>
  <c r="D70" i="35"/>
  <c r="E70" i="35" s="1"/>
  <c r="G69" i="35"/>
  <c r="I69" i="35" s="1"/>
  <c r="B73" i="22"/>
  <c r="D71" i="29"/>
  <c r="E71" i="29" s="1"/>
  <c r="D70" i="31"/>
  <c r="E70" i="31" s="1"/>
  <c r="H72" i="26"/>
  <c r="I72" i="26" s="1"/>
  <c r="D69" i="37"/>
  <c r="H67" i="38"/>
  <c r="H70" i="29"/>
  <c r="D72" i="25"/>
  <c r="E72" i="25" s="1"/>
  <c r="G71" i="25"/>
  <c r="I71" i="25" s="1"/>
  <c r="E73" i="22"/>
  <c r="E74" i="22" s="1"/>
  <c r="F73" i="23"/>
  <c r="G67" i="38"/>
  <c r="G70" i="29"/>
  <c r="I73" i="21"/>
  <c r="I74" i="21" s="1"/>
  <c r="G151" i="37"/>
  <c r="D152" i="37"/>
  <c r="D153" i="31"/>
  <c r="B153" i="31" s="1"/>
  <c r="G152" i="31"/>
  <c r="B152" i="34"/>
  <c r="J155" i="21"/>
  <c r="J156" i="21" s="1"/>
  <c r="I156" i="21"/>
  <c r="J155" i="27"/>
  <c r="J156" i="27" s="1"/>
  <c r="I156" i="27"/>
  <c r="I151" i="34"/>
  <c r="H151" i="34"/>
  <c r="J155" i="24"/>
  <c r="J156" i="24" s="1"/>
  <c r="I156" i="24"/>
  <c r="B152" i="38"/>
  <c r="F152" i="38"/>
  <c r="H151" i="38"/>
  <c r="I151" i="38"/>
  <c r="B153" i="13"/>
  <c r="F153" i="13"/>
  <c r="E152" i="34"/>
  <c r="F152" i="34" s="1"/>
  <c r="H152" i="13"/>
  <c r="I152" i="13"/>
  <c r="G152" i="20"/>
  <c r="D153" i="20"/>
  <c r="I155" i="22"/>
  <c r="H155" i="22"/>
  <c r="H156" i="22" s="1"/>
  <c r="J151" i="20"/>
  <c r="I73" i="28" l="1"/>
  <c r="I74" i="28" s="1"/>
  <c r="H155" i="26"/>
  <c r="H156" i="26" s="1"/>
  <c r="I155" i="26"/>
  <c r="E153" i="31"/>
  <c r="F153" i="31" s="1"/>
  <c r="G153" i="31" s="1"/>
  <c r="I153" i="31" s="1"/>
  <c r="I70" i="29"/>
  <c r="B70" i="34"/>
  <c r="F70" i="34"/>
  <c r="F68" i="38"/>
  <c r="G68" i="38" s="1"/>
  <c r="B68" i="38"/>
  <c r="B69" i="37"/>
  <c r="B70" i="31"/>
  <c r="F70" i="31"/>
  <c r="H70" i="31" s="1"/>
  <c r="B72" i="25"/>
  <c r="F72" i="25"/>
  <c r="H72" i="25" s="1"/>
  <c r="E72" i="13"/>
  <c r="F72" i="13" s="1"/>
  <c r="F71" i="29"/>
  <c r="H71" i="29" s="1"/>
  <c r="B70" i="35"/>
  <c r="F70" i="35"/>
  <c r="G73" i="23"/>
  <c r="G74" i="23" s="1"/>
  <c r="H73" i="23"/>
  <c r="I152" i="35"/>
  <c r="H152" i="35"/>
  <c r="I67" i="38"/>
  <c r="F73" i="22"/>
  <c r="E69" i="37"/>
  <c r="F69" i="37" s="1"/>
  <c r="B73" i="26"/>
  <c r="F73" i="26"/>
  <c r="H73" i="26" s="1"/>
  <c r="E153" i="35"/>
  <c r="F153" i="35" s="1"/>
  <c r="B153" i="35"/>
  <c r="I73" i="27"/>
  <c r="I74" i="27" s="1"/>
  <c r="E152" i="37"/>
  <c r="F152" i="37" s="1"/>
  <c r="B152" i="37"/>
  <c r="H151" i="37"/>
  <c r="I151" i="37"/>
  <c r="I152" i="31"/>
  <c r="H152" i="31"/>
  <c r="G152" i="34"/>
  <c r="D153" i="34"/>
  <c r="E153" i="34" s="1"/>
  <c r="D154" i="13"/>
  <c r="E154" i="13" s="1"/>
  <c r="G153" i="13"/>
  <c r="G152" i="38"/>
  <c r="D153" i="38"/>
  <c r="E153" i="38" s="1"/>
  <c r="J155" i="22"/>
  <c r="J156" i="22" s="1"/>
  <c r="I156" i="22"/>
  <c r="H152" i="20"/>
  <c r="I152" i="20"/>
  <c r="B153" i="20"/>
  <c r="E153" i="20"/>
  <c r="F153" i="20" s="1"/>
  <c r="G73" i="26" l="1"/>
  <c r="G74" i="26" s="1"/>
  <c r="H153" i="31"/>
  <c r="D154" i="31"/>
  <c r="E154" i="31" s="1"/>
  <c r="I156" i="26"/>
  <c r="J155" i="26"/>
  <c r="J156" i="26" s="1"/>
  <c r="G71" i="29"/>
  <c r="H68" i="38"/>
  <c r="I68" i="38" s="1"/>
  <c r="D73" i="13"/>
  <c r="G72" i="13"/>
  <c r="H72" i="13"/>
  <c r="D70" i="37"/>
  <c r="E70" i="37" s="1"/>
  <c r="H69" i="37"/>
  <c r="G69" i="37"/>
  <c r="D71" i="31"/>
  <c r="E71" i="31" s="1"/>
  <c r="D71" i="35"/>
  <c r="E71" i="35" s="1"/>
  <c r="D73" i="25"/>
  <c r="E73" i="25" s="1"/>
  <c r="E74" i="25" s="1"/>
  <c r="H73" i="22"/>
  <c r="G73" i="22"/>
  <c r="G74" i="22" s="1"/>
  <c r="H70" i="35"/>
  <c r="G72" i="25"/>
  <c r="I72" i="25" s="1"/>
  <c r="G70" i="31"/>
  <c r="I70" i="31" s="1"/>
  <c r="D69" i="38"/>
  <c r="E69" i="38" s="1"/>
  <c r="G70" i="35"/>
  <c r="D71" i="34"/>
  <c r="E71" i="34" s="1"/>
  <c r="H74" i="26"/>
  <c r="I71" i="29"/>
  <c r="H70" i="34"/>
  <c r="D154" i="35"/>
  <c r="G153" i="35"/>
  <c r="D72" i="29"/>
  <c r="E72" i="29" s="1"/>
  <c r="G70" i="34"/>
  <c r="I73" i="23"/>
  <c r="I74" i="23" s="1"/>
  <c r="H74" i="23"/>
  <c r="G152" i="37"/>
  <c r="D153" i="37"/>
  <c r="J152" i="31"/>
  <c r="H152" i="38"/>
  <c r="I152" i="38"/>
  <c r="H153" i="13"/>
  <c r="I153" i="13"/>
  <c r="B154" i="13"/>
  <c r="F154" i="13"/>
  <c r="J152" i="20"/>
  <c r="F153" i="34"/>
  <c r="B153" i="34"/>
  <c r="J153" i="31"/>
  <c r="F153" i="38"/>
  <c r="B153" i="38"/>
  <c r="H152" i="34"/>
  <c r="I152" i="34"/>
  <c r="D154" i="20"/>
  <c r="G153" i="20"/>
  <c r="I73" i="26" l="1"/>
  <c r="I74" i="26" s="1"/>
  <c r="B154" i="31"/>
  <c r="F154" i="31"/>
  <c r="G154" i="31" s="1"/>
  <c r="H154" i="31" s="1"/>
  <c r="I70" i="34"/>
  <c r="I70" i="35"/>
  <c r="I72" i="13"/>
  <c r="F69" i="38"/>
  <c r="G69" i="38" s="1"/>
  <c r="B69" i="38"/>
  <c r="F73" i="25"/>
  <c r="G73" i="25" s="1"/>
  <c r="G74" i="25" s="1"/>
  <c r="B73" i="25"/>
  <c r="I69" i="37"/>
  <c r="B70" i="37"/>
  <c r="F70" i="37"/>
  <c r="G70" i="37" s="1"/>
  <c r="B71" i="35"/>
  <c r="F71" i="35"/>
  <c r="H71" i="35" s="1"/>
  <c r="F72" i="29"/>
  <c r="B71" i="34"/>
  <c r="F71" i="34"/>
  <c r="H71" i="34" s="1"/>
  <c r="I153" i="35"/>
  <c r="H153" i="35"/>
  <c r="I73" i="22"/>
  <c r="I74" i="22" s="1"/>
  <c r="H74" i="22"/>
  <c r="F71" i="31"/>
  <c r="G71" i="31" s="1"/>
  <c r="B71" i="31"/>
  <c r="B73" i="13"/>
  <c r="E154" i="35"/>
  <c r="F154" i="35" s="1"/>
  <c r="B154" i="35"/>
  <c r="E73" i="13"/>
  <c r="E74" i="13" s="1"/>
  <c r="E153" i="37"/>
  <c r="F153" i="37" s="1"/>
  <c r="B153" i="37"/>
  <c r="H152" i="37"/>
  <c r="I152" i="37"/>
  <c r="G153" i="38"/>
  <c r="D154" i="38"/>
  <c r="E154" i="38" s="1"/>
  <c r="D155" i="13"/>
  <c r="G154" i="13"/>
  <c r="D154" i="34"/>
  <c r="E154" i="34" s="1"/>
  <c r="G153" i="34"/>
  <c r="B154" i="20"/>
  <c r="H153" i="20"/>
  <c r="I153" i="20"/>
  <c r="E154" i="20"/>
  <c r="F154" i="20" s="1"/>
  <c r="I154" i="31" l="1"/>
  <c r="D155" i="31"/>
  <c r="E155" i="31" s="1"/>
  <c r="E156" i="31" s="1"/>
  <c r="H71" i="31"/>
  <c r="I71" i="31" s="1"/>
  <c r="G71" i="34"/>
  <c r="I71" i="34" s="1"/>
  <c r="D72" i="35"/>
  <c r="E72" i="35" s="1"/>
  <c r="D72" i="34"/>
  <c r="E72" i="34" s="1"/>
  <c r="H73" i="25"/>
  <c r="D72" i="31"/>
  <c r="E72" i="31" s="1"/>
  <c r="D73" i="29"/>
  <c r="E73" i="29" s="1"/>
  <c r="E74" i="29" s="1"/>
  <c r="D71" i="37"/>
  <c r="E71" i="37" s="1"/>
  <c r="G72" i="29"/>
  <c r="H70" i="37"/>
  <c r="I70" i="37" s="1"/>
  <c r="D155" i="35"/>
  <c r="G154" i="35"/>
  <c r="F73" i="13"/>
  <c r="H72" i="29"/>
  <c r="D70" i="38"/>
  <c r="E70" i="38" s="1"/>
  <c r="G71" i="35"/>
  <c r="I71" i="35" s="1"/>
  <c r="H69" i="38"/>
  <c r="I69" i="38" s="1"/>
  <c r="G153" i="37"/>
  <c r="D154" i="37"/>
  <c r="B154" i="37" s="1"/>
  <c r="J154" i="31"/>
  <c r="B155" i="13"/>
  <c r="H154" i="13"/>
  <c r="I154" i="13"/>
  <c r="H153" i="34"/>
  <c r="I153" i="34"/>
  <c r="F154" i="38"/>
  <c r="B154" i="38"/>
  <c r="B154" i="34"/>
  <c r="F154" i="34"/>
  <c r="H153" i="38"/>
  <c r="I153" i="38"/>
  <c r="J153" i="20"/>
  <c r="E155" i="13"/>
  <c r="E156" i="13" s="1"/>
  <c r="D155" i="20"/>
  <c r="E155" i="20" s="1"/>
  <c r="E156" i="20" s="1"/>
  <c r="G154" i="20"/>
  <c r="F155" i="31" l="1"/>
  <c r="G155" i="31" s="1"/>
  <c r="B155" i="31"/>
  <c r="E154" i="37"/>
  <c r="F154" i="37" s="1"/>
  <c r="I73" i="25"/>
  <c r="I74" i="25" s="1"/>
  <c r="H74" i="25"/>
  <c r="F72" i="34"/>
  <c r="G72" i="34" s="1"/>
  <c r="B70" i="38"/>
  <c r="F70" i="38"/>
  <c r="F71" i="37"/>
  <c r="G71" i="37" s="1"/>
  <c r="B71" i="37"/>
  <c r="I72" i="29"/>
  <c r="H73" i="13"/>
  <c r="G73" i="13"/>
  <c r="G74" i="13" s="1"/>
  <c r="F73" i="29"/>
  <c r="G73" i="29" s="1"/>
  <c r="G74" i="29" s="1"/>
  <c r="F72" i="35"/>
  <c r="H72" i="35" s="1"/>
  <c r="H154" i="35"/>
  <c r="I154" i="35"/>
  <c r="E155" i="35"/>
  <c r="E156" i="35" s="1"/>
  <c r="B155" i="35"/>
  <c r="F72" i="31"/>
  <c r="G72" i="31" s="1"/>
  <c r="B72" i="31"/>
  <c r="I153" i="37"/>
  <c r="H153" i="37"/>
  <c r="D155" i="34"/>
  <c r="E155" i="34" s="1"/>
  <c r="E156" i="34" s="1"/>
  <c r="G154" i="34"/>
  <c r="I155" i="31"/>
  <c r="H155" i="31"/>
  <c r="H156" i="31" s="1"/>
  <c r="G154" i="38"/>
  <c r="D155" i="38"/>
  <c r="E155" i="38" s="1"/>
  <c r="E156" i="38" s="1"/>
  <c r="F155" i="13"/>
  <c r="G155" i="13" s="1"/>
  <c r="I154" i="20"/>
  <c r="H154" i="20"/>
  <c r="B155" i="20"/>
  <c r="F155" i="20"/>
  <c r="G155" i="20" s="1"/>
  <c r="H72" i="34" l="1"/>
  <c r="I72" i="34" s="1"/>
  <c r="F155" i="35"/>
  <c r="G155" i="35" s="1"/>
  <c r="H155" i="35" s="1"/>
  <c r="H156" i="35" s="1"/>
  <c r="D155" i="37"/>
  <c r="G154" i="37"/>
  <c r="H72" i="31"/>
  <c r="H73" i="29"/>
  <c r="H71" i="37"/>
  <c r="I71" i="37" s="1"/>
  <c r="D71" i="38"/>
  <c r="E71" i="38" s="1"/>
  <c r="I72" i="31"/>
  <c r="G70" i="38"/>
  <c r="D73" i="35"/>
  <c r="E73" i="35" s="1"/>
  <c r="E74" i="35" s="1"/>
  <c r="D73" i="31"/>
  <c r="G72" i="35"/>
  <c r="I72" i="35" s="1"/>
  <c r="I73" i="29"/>
  <c r="I74" i="29" s="1"/>
  <c r="H74" i="29"/>
  <c r="D73" i="34"/>
  <c r="E73" i="34" s="1"/>
  <c r="E74" i="34" s="1"/>
  <c r="D72" i="37"/>
  <c r="E72" i="37" s="1"/>
  <c r="I73" i="13"/>
  <c r="I74" i="13" s="1"/>
  <c r="H74" i="13"/>
  <c r="H70" i="38"/>
  <c r="B155" i="38"/>
  <c r="F155" i="38"/>
  <c r="G155" i="38" s="1"/>
  <c r="H154" i="38"/>
  <c r="I154" i="38"/>
  <c r="J155" i="31"/>
  <c r="J156" i="31" s="1"/>
  <c r="I156" i="31"/>
  <c r="H154" i="34"/>
  <c r="I154" i="34"/>
  <c r="H155" i="13"/>
  <c r="H156" i="13" s="1"/>
  <c r="I155" i="13"/>
  <c r="I156" i="13" s="1"/>
  <c r="B155" i="34"/>
  <c r="F155" i="34"/>
  <c r="G155" i="34" s="1"/>
  <c r="H155" i="20"/>
  <c r="H156" i="20" s="1"/>
  <c r="I155" i="20"/>
  <c r="J154" i="20"/>
  <c r="I155" i="35" l="1"/>
  <c r="I156" i="35" s="1"/>
  <c r="I70" i="38"/>
  <c r="H154" i="37"/>
  <c r="I154" i="37"/>
  <c r="E155" i="37"/>
  <c r="B155" i="37"/>
  <c r="B73" i="31"/>
  <c r="F73" i="35"/>
  <c r="H73" i="35" s="1"/>
  <c r="B73" i="35"/>
  <c r="G73" i="35"/>
  <c r="G74" i="35" s="1"/>
  <c r="B73" i="34"/>
  <c r="F73" i="34"/>
  <c r="H73" i="34" s="1"/>
  <c r="G73" i="34"/>
  <c r="G74" i="34" s="1"/>
  <c r="F72" i="37"/>
  <c r="H72" i="37" s="1"/>
  <c r="F71" i="38"/>
  <c r="G71" i="38" s="1"/>
  <c r="B71" i="38"/>
  <c r="E73" i="31"/>
  <c r="E74" i="31" s="1"/>
  <c r="I155" i="34"/>
  <c r="I156" i="34" s="1"/>
  <c r="H155" i="34"/>
  <c r="H156" i="34" s="1"/>
  <c r="H155" i="38"/>
  <c r="H156" i="38" s="1"/>
  <c r="I155" i="38"/>
  <c r="I156" i="38" s="1"/>
  <c r="J155" i="20"/>
  <c r="J156" i="20" s="1"/>
  <c r="I156" i="20"/>
  <c r="E156" i="37" l="1"/>
  <c r="F155" i="37"/>
  <c r="G155" i="37" s="1"/>
  <c r="H71" i="38"/>
  <c r="I73" i="34"/>
  <c r="I74" i="34" s="1"/>
  <c r="H74" i="34"/>
  <c r="I73" i="35"/>
  <c r="I74" i="35" s="1"/>
  <c r="H74" i="35"/>
  <c r="D73" i="37"/>
  <c r="F73" i="31"/>
  <c r="G72" i="37"/>
  <c r="I72" i="37" s="1"/>
  <c r="I71" i="38"/>
  <c r="D72" i="38"/>
  <c r="E72" i="38" s="1"/>
  <c r="H155" i="37" l="1"/>
  <c r="H156" i="37" s="1"/>
  <c r="I155" i="37"/>
  <c r="I156" i="37" s="1"/>
  <c r="H73" i="31"/>
  <c r="G73" i="31"/>
  <c r="G74" i="31" s="1"/>
  <c r="B73" i="37"/>
  <c r="E73" i="37"/>
  <c r="E74" i="37" s="1"/>
  <c r="F72" i="38"/>
  <c r="G72" i="38" s="1"/>
  <c r="H72" i="38" l="1"/>
  <c r="F73" i="37"/>
  <c r="I72" i="38"/>
  <c r="D73" i="38"/>
  <c r="I73" i="31"/>
  <c r="I74" i="31" s="1"/>
  <c r="H74" i="31"/>
  <c r="B73" i="38" l="1"/>
  <c r="E73" i="38"/>
  <c r="E74" i="38" s="1"/>
  <c r="G73" i="37"/>
  <c r="G74" i="37" s="1"/>
  <c r="H73" i="37"/>
  <c r="I73" i="37" l="1"/>
  <c r="I74" i="37" s="1"/>
  <c r="H74" i="37"/>
  <c r="F73" i="38"/>
  <c r="G73" i="38" l="1"/>
  <c r="G74" i="38" s="1"/>
  <c r="H73" i="38"/>
  <c r="I73" i="38" l="1"/>
  <c r="I74" i="38" s="1"/>
  <c r="H74" i="38"/>
  <c r="J93" i="3" l="1"/>
  <c r="M89" i="3" s="1"/>
  <c r="L87" i="3" l="1"/>
  <c r="N89" i="3"/>
  <c r="N88" i="3"/>
  <c r="M88" i="3"/>
  <c r="J93" i="38"/>
  <c r="J93" i="24"/>
  <c r="J93" i="13"/>
  <c r="M19" i="2"/>
  <c r="A4" i="2"/>
  <c r="J93" i="18"/>
  <c r="J93" i="19"/>
  <c r="J93" i="23"/>
  <c r="J93" i="25"/>
  <c r="J93" i="27"/>
  <c r="J93" i="26"/>
  <c r="J93" i="28"/>
  <c r="J93" i="35"/>
  <c r="J93" i="34"/>
  <c r="J93" i="37"/>
  <c r="J93" i="20"/>
  <c r="J93" i="31"/>
  <c r="J93" i="29"/>
  <c r="J93" i="22"/>
  <c r="J93" i="21"/>
  <c r="J93" i="4"/>
  <c r="M90" i="3" l="1"/>
  <c r="L87" i="4"/>
  <c r="N89" i="4"/>
  <c r="N88" i="4"/>
  <c r="M88" i="4"/>
  <c r="M89" i="4"/>
  <c r="M88" i="31"/>
  <c r="L87" i="31"/>
  <c r="N89" i="31"/>
  <c r="N88" i="31"/>
  <c r="M89" i="31"/>
  <c r="M88" i="20"/>
  <c r="L87" i="20"/>
  <c r="N88" i="20"/>
  <c r="N89" i="20"/>
  <c r="M89" i="20"/>
  <c r="M90" i="20" s="1"/>
  <c r="N88" i="23"/>
  <c r="N89" i="23"/>
  <c r="M88" i="23"/>
  <c r="L87" i="23"/>
  <c r="M89" i="23"/>
  <c r="M90" i="23" s="1"/>
  <c r="N89" i="22"/>
  <c r="N88" i="22"/>
  <c r="L87" i="22"/>
  <c r="M88" i="22"/>
  <c r="M89" i="22"/>
  <c r="N88" i="26"/>
  <c r="M88" i="26"/>
  <c r="L87" i="26"/>
  <c r="N89" i="26"/>
  <c r="M89" i="26"/>
  <c r="L87" i="13"/>
  <c r="N88" i="13"/>
  <c r="M89" i="13"/>
  <c r="N89" i="13"/>
  <c r="M88" i="13"/>
  <c r="O88" i="3"/>
  <c r="M88" i="35"/>
  <c r="L87" i="35"/>
  <c r="N88" i="35"/>
  <c r="N89" i="35"/>
  <c r="M89" i="35"/>
  <c r="N88" i="21"/>
  <c r="N89" i="21"/>
  <c r="L87" i="21"/>
  <c r="M88" i="21"/>
  <c r="M89" i="21"/>
  <c r="N89" i="28"/>
  <c r="N88" i="28"/>
  <c r="L87" i="28"/>
  <c r="M88" i="28"/>
  <c r="M89" i="28"/>
  <c r="M88" i="37"/>
  <c r="L87" i="37"/>
  <c r="N89" i="37"/>
  <c r="N88" i="37"/>
  <c r="M89" i="37"/>
  <c r="M88" i="19"/>
  <c r="N88" i="19"/>
  <c r="L87" i="19"/>
  <c r="N89" i="19"/>
  <c r="M89" i="19"/>
  <c r="M88" i="29"/>
  <c r="N88" i="29"/>
  <c r="L87" i="29"/>
  <c r="N89" i="29"/>
  <c r="M89" i="29"/>
  <c r="N88" i="34"/>
  <c r="N89" i="34"/>
  <c r="L87" i="34"/>
  <c r="M88" i="34"/>
  <c r="M89" i="34"/>
  <c r="L87" i="27"/>
  <c r="M88" i="27"/>
  <c r="N89" i="27"/>
  <c r="N88" i="27"/>
  <c r="M89" i="27"/>
  <c r="L87" i="18"/>
  <c r="N89" i="18"/>
  <c r="M88" i="18"/>
  <c r="N88" i="18"/>
  <c r="M89" i="18"/>
  <c r="N88" i="24"/>
  <c r="N89" i="24"/>
  <c r="M89" i="24"/>
  <c r="L87" i="24"/>
  <c r="M88" i="24"/>
  <c r="N90" i="3"/>
  <c r="O89" i="3"/>
  <c r="O90" i="3" s="1"/>
  <c r="N88" i="25"/>
  <c r="N89" i="25"/>
  <c r="L87" i="25"/>
  <c r="M88" i="25"/>
  <c r="M89" i="25"/>
  <c r="M88" i="38"/>
  <c r="O88" i="38" s="1"/>
  <c r="M89" i="38"/>
  <c r="L87" i="38"/>
  <c r="N89" i="38"/>
  <c r="I25" i="17"/>
  <c r="I22" i="17"/>
  <c r="I18" i="17"/>
  <c r="M90" i="35" l="1"/>
  <c r="M90" i="31"/>
  <c r="M90" i="29"/>
  <c r="O17" i="2"/>
  <c r="N17" i="2"/>
  <c r="R132" i="2" s="1"/>
  <c r="M90" i="19"/>
  <c r="O88" i="35"/>
  <c r="O88" i="27"/>
  <c r="O88" i="19"/>
  <c r="M90" i="38"/>
  <c r="M90" i="34"/>
  <c r="O88" i="34"/>
  <c r="O88" i="29"/>
  <c r="M90" i="28"/>
  <c r="M90" i="37"/>
  <c r="O88" i="31"/>
  <c r="O88" i="37"/>
  <c r="O88" i="4"/>
  <c r="M90" i="22"/>
  <c r="O88" i="22"/>
  <c r="M90" i="25"/>
  <c r="M90" i="27"/>
  <c r="M90" i="26"/>
  <c r="O88" i="26"/>
  <c r="O88" i="25"/>
  <c r="M90" i="13"/>
  <c r="O88" i="20"/>
  <c r="O88" i="18"/>
  <c r="O88" i="28"/>
  <c r="O88" i="13"/>
  <c r="V22" i="17"/>
  <c r="O89" i="25"/>
  <c r="N90" i="25"/>
  <c r="O89" i="24"/>
  <c r="N90" i="24"/>
  <c r="O89" i="28"/>
  <c r="N90" i="28"/>
  <c r="N90" i="21"/>
  <c r="O89" i="21"/>
  <c r="N90" i="23"/>
  <c r="O89" i="23"/>
  <c r="M90" i="4"/>
  <c r="N18" i="2"/>
  <c r="O88" i="24"/>
  <c r="N90" i="18"/>
  <c r="O89" i="18"/>
  <c r="N90" i="27"/>
  <c r="O89" i="27"/>
  <c r="O90" i="27" s="1"/>
  <c r="N90" i="37"/>
  <c r="O89" i="37"/>
  <c r="M90" i="21"/>
  <c r="O88" i="21"/>
  <c r="O88" i="23"/>
  <c r="N90" i="31"/>
  <c r="O89" i="31"/>
  <c r="O89" i="38"/>
  <c r="O90" i="38" s="1"/>
  <c r="N90" i="38"/>
  <c r="M90" i="18"/>
  <c r="N90" i="29"/>
  <c r="O89" i="29"/>
  <c r="O89" i="13"/>
  <c r="N90" i="13"/>
  <c r="O18" i="2"/>
  <c r="M90" i="24"/>
  <c r="O89" i="34"/>
  <c r="O90" i="34" s="1"/>
  <c r="N90" i="34"/>
  <c r="O89" i="19"/>
  <c r="N90" i="19"/>
  <c r="N90" i="35"/>
  <c r="O89" i="35"/>
  <c r="O90" i="35" s="1"/>
  <c r="O89" i="26"/>
  <c r="N90" i="26"/>
  <c r="N90" i="22"/>
  <c r="O89" i="22"/>
  <c r="O89" i="20"/>
  <c r="N90" i="20"/>
  <c r="O89" i="4"/>
  <c r="N90" i="4"/>
  <c r="I35" i="17"/>
  <c r="I31" i="17"/>
  <c r="I21" i="17"/>
  <c r="I32" i="17"/>
  <c r="I26" i="17"/>
  <c r="I36" i="17"/>
  <c r="I19" i="17"/>
  <c r="I33" i="17"/>
  <c r="I20" i="17"/>
  <c r="I24" i="17"/>
  <c r="I23" i="17"/>
  <c r="I28" i="17"/>
  <c r="I34" i="17"/>
  <c r="I27" i="17"/>
  <c r="I30" i="17"/>
  <c r="I29" i="17"/>
  <c r="O90" i="31" l="1"/>
  <c r="O90" i="29"/>
  <c r="O90" i="4"/>
  <c r="N28" i="2"/>
  <c r="N29" i="2" s="1"/>
  <c r="O90" i="19"/>
  <c r="O90" i="22"/>
  <c r="O90" i="28"/>
  <c r="O90" i="25"/>
  <c r="O90" i="37"/>
  <c r="O90" i="20"/>
  <c r="O90" i="26"/>
  <c r="O90" i="18"/>
  <c r="O90" i="13"/>
  <c r="I38" i="17"/>
  <c r="O90" i="23"/>
  <c r="P18" i="2"/>
  <c r="R135" i="2"/>
  <c r="O19" i="2"/>
  <c r="O20" i="2" s="1"/>
  <c r="N19" i="2"/>
  <c r="N20" i="2" s="1"/>
  <c r="R134" i="2"/>
  <c r="O90" i="21"/>
  <c r="P17" i="2"/>
  <c r="R133" i="2"/>
  <c r="O90" i="24"/>
  <c r="P19" i="2" l="1"/>
  <c r="P20" i="2" s="1"/>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L21" i="17"/>
  <c r="V21" i="17" s="1"/>
  <c r="L30" i="17" l="1"/>
  <c r="V30" i="17" s="1"/>
  <c r="L36" i="17"/>
  <c r="V36" i="17" s="1"/>
  <c r="L31" i="17"/>
  <c r="V31" i="17" s="1"/>
  <c r="L20" i="17"/>
  <c r="V20" i="17" s="1"/>
  <c r="L26" i="17"/>
  <c r="V26" i="17" s="1"/>
  <c r="L33" i="17"/>
  <c r="V33" i="17" s="1"/>
  <c r="L28" i="17"/>
  <c r="V28" i="17" s="1"/>
  <c r="L19" i="17"/>
  <c r="V19" i="17" s="1"/>
  <c r="L23" i="17"/>
  <c r="V23" i="17" s="1"/>
  <c r="L24" i="17"/>
  <c r="V24" i="17" s="1"/>
  <c r="L27" i="17"/>
  <c r="V27" i="17" s="1"/>
  <c r="L29" i="17"/>
  <c r="V29" i="17" s="1"/>
  <c r="L25" i="17"/>
  <c r="V25" i="17" s="1"/>
  <c r="L32" i="17"/>
  <c r="V32" i="17" s="1"/>
  <c r="L34" i="17"/>
  <c r="V34" i="17" s="1"/>
  <c r="V18" i="17"/>
  <c r="V38" i="17" l="1"/>
  <c r="L38" i="17"/>
  <c r="D34" i="17"/>
  <c r="D30" i="17"/>
  <c r="D22" i="17"/>
  <c r="D28" i="17"/>
  <c r="D32" i="17"/>
  <c r="D29" i="17"/>
  <c r="D24" i="17"/>
  <c r="D20" i="17"/>
  <c r="D33" i="17"/>
  <c r="D21" i="17"/>
  <c r="D23" i="17"/>
  <c r="D19" i="17"/>
  <c r="D31" i="17"/>
  <c r="D35" i="17"/>
  <c r="D26" i="17"/>
  <c r="D27" i="17"/>
  <c r="D25" i="17"/>
  <c r="D18" i="17"/>
  <c r="Q19" i="17" l="1"/>
  <c r="R19" i="17" s="1"/>
  <c r="T19" i="17" s="1"/>
  <c r="Q31" i="17"/>
  <c r="R31" i="17" s="1"/>
  <c r="T31" i="17" s="1"/>
  <c r="Q27" i="17"/>
  <c r="R27" i="17" s="1"/>
  <c r="T27" i="17" s="1"/>
  <c r="Q35" i="17"/>
  <c r="R35" i="17" s="1"/>
  <c r="T35" i="17" s="1"/>
  <c r="Q21" i="17"/>
  <c r="R21" i="17" s="1"/>
  <c r="T21" i="17" s="1"/>
  <c r="Q28" i="17"/>
  <c r="R28" i="17" s="1"/>
  <c r="T28" i="17" s="1"/>
  <c r="Q25" i="17"/>
  <c r="R25" i="17" s="1"/>
  <c r="T25" i="17" s="1"/>
  <c r="Q26" i="17"/>
  <c r="R26" i="17" s="1"/>
  <c r="T26" i="17" s="1"/>
  <c r="Q32" i="17"/>
  <c r="R32" i="17" s="1"/>
  <c r="T32" i="17" s="1"/>
  <c r="Q22" i="17"/>
  <c r="R22" i="17" s="1"/>
  <c r="T22" i="17" s="1"/>
  <c r="Q29" i="17"/>
  <c r="R29" i="17" s="1"/>
  <c r="T29" i="17" s="1"/>
  <c r="Q34" i="17"/>
  <c r="R34" i="17" s="1"/>
  <c r="T34" i="17" s="1"/>
  <c r="Q20" i="17"/>
  <c r="R20" i="17" s="1"/>
  <c r="T20" i="17" s="1"/>
  <c r="Q18" i="17"/>
  <c r="R18" i="17" s="1"/>
  <c r="Q23" i="17"/>
  <c r="R23" i="17" s="1"/>
  <c r="T23" i="17" s="1"/>
  <c r="Q24" i="17"/>
  <c r="R24" i="17" s="1"/>
  <c r="T24" i="17" s="1"/>
  <c r="Q30" i="17"/>
  <c r="R30" i="17" s="1"/>
  <c r="T30" i="17" s="1"/>
  <c r="Q36" i="17"/>
  <c r="R36" i="17" s="1"/>
  <c r="T36" i="17" s="1"/>
  <c r="Q33" i="17"/>
  <c r="R33" i="17" s="1"/>
  <c r="T33" i="17" s="1"/>
  <c r="T18" i="17" l="1"/>
  <c r="R38" i="17"/>
  <c r="T38" i="17" l="1"/>
</calcChain>
</file>

<file path=xl/comments1.xml><?xml version="1.0" encoding="utf-8"?>
<comments xmlns="http://schemas.openxmlformats.org/spreadsheetml/2006/main">
  <authors>
    <author>R.Pennybaker</author>
    <author>AEP</author>
  </authors>
  <commentList>
    <comment ref="C16" authorId="0" shapeId="0">
      <text>
        <r>
          <rPr>
            <b/>
            <sz val="8"/>
            <color indexed="81"/>
            <rFont val="Tahoma"/>
            <family val="2"/>
          </rPr>
          <t>R.Pennybaker:</t>
        </r>
        <r>
          <rPr>
            <sz val="8"/>
            <color indexed="81"/>
            <rFont val="Tahoma"/>
            <family val="2"/>
          </rPr>
          <t xml:space="preserve">
Project Descriptions are in cell [P.xxx]!$D$7]</t>
        </r>
      </text>
    </comment>
    <comment ref="D16" authorId="0" shapeId="0">
      <text>
        <r>
          <rPr>
            <b/>
            <sz val="8"/>
            <color indexed="81"/>
            <rFont val="Tahoma"/>
            <family val="2"/>
          </rPr>
          <t>R.Pennybaker:</t>
        </r>
        <r>
          <rPr>
            <sz val="8"/>
            <color indexed="81"/>
            <rFont val="Tahoma"/>
            <family val="2"/>
          </rPr>
          <t xml:space="preserve">
Year In Service is in cell [P.xxx]!$D$11]</t>
        </r>
      </text>
    </comment>
    <comment ref="E16" authorId="0" shapeId="0">
      <text>
        <r>
          <rPr>
            <b/>
            <sz val="8"/>
            <color indexed="81"/>
            <rFont val="Tahoma"/>
            <family val="2"/>
          </rPr>
          <t>R.Pennybaker:</t>
        </r>
        <r>
          <rPr>
            <sz val="8"/>
            <color indexed="81"/>
            <rFont val="Tahoma"/>
            <family val="2"/>
          </rPr>
          <t xml:space="preserve">
Projected Base ARR is in cell [P.xxx]!$N$5]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C21" authorId="1" shapeId="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38" authorId="0" shapeId="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authors>
    <author>R.Pennybaker</author>
  </authors>
  <commentList>
    <comment ref="L19" authorId="0" shapeId="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authors>
    <author>R.Pennybaker</author>
  </authors>
  <commentList>
    <comment ref="M16" authorId="0" shapeId="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authors>
    <author>AEP</author>
  </authors>
  <commentList>
    <comment ref="D10" authorId="0" shapeId="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<sst xmlns="http://schemas.openxmlformats.org/spreadsheetml/2006/main" count="2607" uniqueCount="293">
  <si>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</si>
  <si>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</si>
  <si>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</si>
  <si>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</si>
  <si>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</si>
  <si>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</si>
  <si>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</si>
  <si>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</si>
  <si>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</si>
  <si>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</si>
  <si>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</si>
  <si>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</si>
  <si>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</si>
  <si>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</si>
  <si>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</si>
  <si>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</si>
  <si>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</si>
  <si>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</si>
  <si>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</si>
  <si>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</si>
  <si>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</si>
  <si>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</si>
  <si>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</si>
  <si>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</si>
  <si>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</si>
  <si>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</si>
  <si>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</si>
  <si>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</si>
  <si>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</si>
  <si>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</si>
  <si>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</si>
  <si>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</si>
  <si>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</si>
  <si>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</si>
  <si>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</si>
  <si>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</si>
  <si>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</si>
  <si>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</si>
  <si>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</si>
  <si>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</si>
  <si>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</si>
  <si>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</si>
  <si>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</si>
  <si>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</si>
  <si>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</si>
  <si>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</si>
  <si>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</si>
  <si>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</si>
  <si>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</si>
  <si>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</si>
  <si>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</si>
  <si>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</si>
  <si>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</si>
  <si>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</si>
  <si>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</si>
  <si>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</si>
  <si>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</si>
  <si>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</si>
  <si>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</si>
  <si>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</si>
  <si>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</si>
  <si>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</si>
  <si>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</si>
  <si>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</si>
  <si>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</si>
  <si>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</si>
  <si>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</si>
  <si>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</si>
  <si>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</si>
  <si>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</si>
  <si>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</si>
  <si>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</si>
  <si>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</si>
  <si>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</si>
  <si>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</si>
  <si>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</si>
  <si>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</si>
  <si>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</si>
  <si>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</si>
  <si>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</si>
  <si>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</si>
  <si>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</si>
  <si>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</si>
  <si>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</si>
  <si>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</si>
  <si>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</si>
  <si>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</si>
  <si>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</si>
  <si>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</si>
  <si>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</si>
  <si>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</si>
  <si>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</si>
  <si>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</si>
  <si>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</si>
  <si>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</si>
  <si>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</si>
  <si>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</si>
  <si>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</si>
  <si>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</si>
  <si>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</si>
  <si>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</si>
  <si>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</si>
  <si>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</si>
  <si>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</si>
  <si>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</si>
  <si>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</si>
  <si>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</si>
  <si>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</si>
  <si>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</si>
  <si>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</si>
  <si>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</si>
  <si>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</si>
  <si>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</si>
  <si>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</si>
  <si>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</si>
  <si>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</si>
  <si>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</si>
  <si>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</si>
  <si>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</si>
  <si>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</si>
  <si>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</si>
  <si>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</si>
  <si>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</si>
  <si>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</si>
  <si>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</si>
  <si>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</si>
  <si>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</si>
  <si>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</si>
  <si>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</si>
  <si>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</si>
  <si>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</si>
  <si>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</si>
  <si>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</si>
  <si>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</si>
  <si>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</si>
  <si>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</si>
  <si>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</si>
  <si>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</si>
  <si>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</si>
  <si>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</si>
  <si>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</si>
  <si>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</si>
  <si>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</si>
  <si>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</si>
  <si>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</si>
  <si>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</si>
  <si>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</si>
  <si>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</si>
  <si>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</si>
  <si>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</si>
  <si>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</si>
  <si>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</si>
  <si>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</si>
  <si>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</si>
  <si>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</si>
  <si>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</si>
  <si>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</si>
  <si>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</si>
  <si>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</si>
  <si>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</si>
  <si>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</si>
  <si>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</si>
  <si>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</si>
  <si>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</si>
  <si>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</si>
  <si>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</si>
  <si>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</si>
  <si>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</si>
  <si>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</si>
  <si>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</si>
  <si>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</si>
  <si>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</si>
  <si>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</si>
  <si>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</si>
  <si>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</si>
  <si>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</si>
  <si>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</si>
  <si>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</si>
  <si>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</si>
  <si>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</si>
  <si>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</si>
  <si>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</si>
  <si>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</si>
  <si>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</si>
  <si>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</si>
  <si>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</si>
  <si>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</si>
  <si>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</si>
  <si>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</si>
  <si>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</si>
  <si>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</si>
  <si>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</si>
  <si>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</si>
  <si>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</si>
  <si>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</si>
  <si>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</si>
  <si>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</si>
  <si>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</si>
  <si>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</si>
  <si>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</si>
  <si>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</si>
  <si>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</si>
  <si>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</si>
  <si>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</si>
  <si>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</si>
  <si>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</si>
  <si>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</si>
  <si>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</si>
  <si>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</si>
  <si>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</si>
  <si>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</si>
  <si>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</si>
  <si>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</si>
  <si>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</si>
  <si>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</si>
  <si>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</si>
  <si>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</si>
  <si>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</si>
  <si>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</si>
  <si>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</si>
  <si>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</si>
  <si>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</si>
  <si>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</si>
  <si>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</si>
  <si>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</si>
  <si>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</si>
  <si>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</si>
  <si>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</si>
  <si>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</si>
  <si>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</si>
  <si>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</si>
  <si>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</si>
  <si>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</si>
  <si>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</si>
  <si>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</si>
  <si>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</si>
  <si>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</si>
  <si>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</si>
  <si>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</si>
  <si>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</si>
  <si>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</si>
  <si>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</si>
  <si>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</si>
  <si>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</si>
  <si>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</si>
  <si>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</si>
  <si>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</si>
  <si>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</si>
  <si>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</si>
  <si>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</si>
  <si>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</si>
  <si>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</si>
  <si>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</si>
  <si>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</si>
  <si>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</si>
  <si>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</si>
  <si>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</si>
  <si>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</si>
  <si>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</si>
  <si>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</si>
  <si>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TP2009089</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</si>
  <si>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</si>
  <si>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</si>
  <si>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</si>
  <si>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</si>
  <si>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</si>
  <si>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</si>
  <si>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</si>
  <si>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</si>
  <si>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</si>
  <si>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</si>
  <si>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</si>
  <si>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</si>
  <si>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</si>
  <si>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</si>
  <si>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</si>
  <si>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</si>
  <si>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</si>
  <si>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</si>
  <si>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</si>
  <si>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</si>
  <si>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</si>
  <si>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</si>
  <si>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</si>
  <si>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</si>
  <si>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</si>
  <si>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Transmission Plant Average Balance for 2018</t>
  </si>
  <si>
    <t>Projected Year</t>
  </si>
  <si>
    <t xml:space="preserve">   Tax Effect of Permanent and Flow Through Differences  (TCOS, ln 110)</t>
  </si>
  <si>
    <t>OKT.019</t>
  </si>
  <si>
    <t xml:space="preserve"> </t>
  </si>
  <si>
    <t xml:space="preserve">   Excess DFIT Adjustment  (TCOS, ln 110)</t>
  </si>
  <si>
    <t xml:space="preserve">   Tax Effect of Permanent and Flow Through Differences (TCOS, 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</si>
</sst>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518">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0" fillId="0" borderId="0" xfId="0" applyAlignment="1">
      <alignment horizontal="center"/>
    </xf>
    <xf numFmtId="169" fontId="1" fillId="0" borderId="0" xfId="86" applyNumberFormat="1"/>
    <xf numFmtId="0" fontId="7" fillId="0" borderId="0" xfId="191" applyNumberFormat="1" applyFont="1" applyBorder="1" applyAlignment="1" applyProtection="1">
      <protection locked="0"/>
    </xf>
    <xf numFmtId="3" fontId="7" fillId="0" borderId="0" xfId="191" applyNumberFormat="1" applyFont="1" applyAlignment="1" applyProtection="1">
      <protection locked="0"/>
    </xf>
    <xf numFmtId="10" fontId="7" fillId="0" borderId="0" xfId="191" applyNumberFormat="1" applyFont="1" applyAlignment="1" applyProtection="1">
      <protection locked="0"/>
    </xf>
    <xf numFmtId="166" fontId="7" fillId="0" borderId="0" xfId="191" applyNumberFormat="1" applyFont="1" applyAlignment="1" applyProtection="1">
      <protection locked="0"/>
    </xf>
    <xf numFmtId="43" fontId="7" fillId="0" borderId="0" xfId="86" applyFont="1" applyAlignment="1" applyProtection="1">
      <protection locked="0"/>
    </xf>
    <xf numFmtId="168" fontId="7" fillId="0" borderId="0" xfId="191" applyFont="1" applyAlignment="1" applyProtection="1">
      <protection locked="0"/>
    </xf>
    <xf numFmtId="168" fontId="7" fillId="0" borderId="0" xfId="191" applyFont="1" applyBorder="1" applyAlignment="1" applyProtection="1">
      <protection locked="0"/>
    </xf>
    <xf numFmtId="0" fontId="39" fillId="0" borderId="0" xfId="0" applyFont="1" applyFill="1" applyBorder="1"/>
    <xf numFmtId="0" fontId="7" fillId="0" borderId="0" xfId="0" applyFont="1" applyFill="1"/>
    <xf numFmtId="10" fontId="7" fillId="0" borderId="0" xfId="191" applyNumberFormat="1" applyFont="1" applyFill="1" applyAlignment="1" applyProtection="1">
      <alignment horizontal="right"/>
      <protection locked="0"/>
    </xf>
    <xf numFmtId="3" fontId="39" fillId="0" borderId="0" xfId="191" applyNumberFormat="1" applyFont="1" applyAlignment="1" applyProtection="1">
      <protection locked="0"/>
    </xf>
    <xf numFmtId="0" fontId="7" fillId="0" borderId="0" xfId="0" applyNumberFormat="1" applyFont="1" applyFill="1" applyAlignment="1">
      <alignment horizontal="center"/>
    </xf>
    <xf numFmtId="0" fontId="7" fillId="0" borderId="0" xfId="0" applyFont="1" applyFill="1" applyBorder="1"/>
    <xf numFmtId="3" fontId="48" fillId="0" borderId="0" xfId="191" applyNumberFormat="1" applyFont="1" applyAlignment="1" applyProtection="1">
      <alignment horizontal="center"/>
      <protection locked="0"/>
    </xf>
    <xf numFmtId="10" fontId="48" fillId="0" borderId="0" xfId="191" applyNumberFormat="1" applyFont="1" applyFill="1" applyAlignment="1" applyProtection="1">
      <alignment horizontal="center"/>
      <protection locked="0"/>
    </xf>
    <xf numFmtId="0" fontId="7" fillId="0" borderId="0" xfId="191" applyNumberFormat="1" applyFont="1" applyFill="1" applyBorder="1" applyAlignment="1" applyProtection="1">
      <alignment horizontal="right"/>
      <protection locked="0"/>
    </xf>
    <xf numFmtId="10" fontId="0" fillId="0" borderId="0" xfId="0" applyNumberFormat="1" applyAlignment="1">
      <alignment horizontal="center"/>
    </xf>
    <xf numFmtId="166" fontId="7" fillId="0" borderId="0" xfId="191" applyNumberFormat="1" applyFont="1" applyAlignment="1" applyProtection="1">
      <alignment horizontal="center"/>
      <protection locked="0"/>
    </xf>
    <xf numFmtId="165" fontId="7" fillId="0" borderId="0" xfId="191" applyNumberFormat="1" applyFont="1" applyAlignment="1" applyProtection="1">
      <alignment horizontal="center"/>
      <protection locked="0"/>
    </xf>
    <xf numFmtId="165" fontId="7" fillId="0" borderId="0" xfId="191" applyNumberFormat="1" applyFont="1" applyBorder="1" applyAlignment="1" applyProtection="1">
      <alignment horizontal="center"/>
      <protection locked="0"/>
    </xf>
    <xf numFmtId="168" fontId="7" fillId="0" borderId="13" xfId="191" applyFont="1" applyBorder="1" applyAlignment="1" applyProtection="1">
      <protection locked="0"/>
    </xf>
    <xf numFmtId="0" fontId="7" fillId="0" borderId="0" xfId="191" applyNumberFormat="1" applyFont="1" applyBorder="1" applyAlignment="1" applyProtection="1">
      <alignment horizontal="center"/>
      <protection locked="0"/>
    </xf>
    <xf numFmtId="3" fontId="7" fillId="0" borderId="14" xfId="191" applyNumberFormat="1" applyFont="1" applyBorder="1" applyAlignment="1" applyProtection="1">
      <protection locked="0"/>
    </xf>
    <xf numFmtId="0" fontId="7" fillId="0" borderId="0" xfId="191" applyNumberFormat="1" applyFont="1" applyAlignment="1" applyProtection="1">
      <alignment horizontal="center"/>
      <protection locked="0"/>
    </xf>
    <xf numFmtId="41" fontId="7" fillId="0" borderId="0" xfId="191" applyNumberFormat="1" applyFont="1" applyAlignment="1" applyProtection="1">
      <protection locked="0"/>
    </xf>
    <xf numFmtId="41" fontId="7" fillId="0" borderId="0" xfId="191" applyNumberFormat="1" applyFont="1" applyAlignment="1" applyProtection="1">
      <alignment horizontal="center"/>
      <protection locked="0"/>
    </xf>
    <xf numFmtId="41" fontId="7" fillId="0" borderId="0" xfId="191" applyNumberFormat="1" applyFont="1" applyBorder="1" applyAlignment="1" applyProtection="1">
      <alignment horizontal="center"/>
      <protection locked="0"/>
    </xf>
    <xf numFmtId="0" fontId="0" fillId="0" borderId="13" xfId="0" applyBorder="1"/>
    <xf numFmtId="0" fontId="0" fillId="0" borderId="14" xfId="0" applyBorder="1"/>
    <xf numFmtId="0" fontId="7" fillId="0" borderId="0" xfId="191" applyNumberFormat="1" applyFont="1" applyBorder="1" applyAlignment="1" applyProtection="1">
      <alignment horizontal="right"/>
      <protection locked="0"/>
    </xf>
    <xf numFmtId="165" fontId="15" fillId="0" borderId="15" xfId="191" applyNumberFormat="1" applyFont="1" applyBorder="1" applyAlignment="1" applyProtection="1">
      <alignment horizontal="center"/>
      <protection locked="0"/>
    </xf>
    <xf numFmtId="0" fontId="7" fillId="0" borderId="6" xfId="191" applyNumberFormat="1" applyFont="1" applyBorder="1" applyAlignment="1" applyProtection="1">
      <alignment horizontal="center"/>
      <protection locked="0"/>
    </xf>
    <xf numFmtId="169" fontId="7" fillId="0" borderId="6" xfId="191" applyNumberFormat="1" applyFont="1" applyBorder="1" applyAlignment="1" applyProtection="1">
      <alignment horizontal="center"/>
      <protection locked="0"/>
    </xf>
    <xf numFmtId="170" fontId="0" fillId="0" borderId="16" xfId="0" applyNumberFormat="1" applyBorder="1"/>
    <xf numFmtId="3" fontId="7" fillId="0" borderId="0" xfId="191" applyNumberFormat="1" applyFont="1" applyAlignment="1" applyProtection="1">
      <alignment horizontal="right"/>
      <protection locked="0"/>
    </xf>
    <xf numFmtId="10" fontId="7" fillId="0" borderId="0" xfId="191" applyNumberFormat="1" applyFont="1" applyFill="1" applyAlignment="1" applyProtection="1">
      <alignment horizontal="left"/>
      <protection locked="0"/>
    </xf>
    <xf numFmtId="41" fontId="7" fillId="0" borderId="0" xfId="191" applyNumberFormat="1" applyFont="1" applyBorder="1" applyAlignment="1" applyProtection="1">
      <protection locked="0"/>
    </xf>
    <xf numFmtId="0" fontId="39" fillId="0" borderId="0" xfId="0" applyFont="1"/>
    <xf numFmtId="41" fontId="7" fillId="0" borderId="0" xfId="191" applyNumberFormat="1" applyFont="1" applyFill="1" applyAlignment="1" applyProtection="1">
      <protection locked="0"/>
    </xf>
    <xf numFmtId="169" fontId="0" fillId="0" borderId="0" xfId="0" applyNumberFormat="1"/>
    <xf numFmtId="41" fontId="7" fillId="0" borderId="0" xfId="191" quotePrefix="1" applyNumberFormat="1" applyFont="1" applyBorder="1" applyAlignment="1" applyProtection="1">
      <protection locked="0"/>
    </xf>
    <xf numFmtId="41" fontId="7" fillId="0" borderId="0" xfId="191" applyNumberFormat="1" applyFont="1" applyFill="1" applyBorder="1" applyAlignment="1" applyProtection="1">
      <alignment horizontal="right"/>
      <protection locked="0"/>
    </xf>
    <xf numFmtId="171" fontId="7" fillId="0" borderId="11" xfId="191" applyNumberFormat="1" applyFont="1" applyBorder="1" applyAlignment="1" applyProtection="1">
      <protection locked="0"/>
    </xf>
    <xf numFmtId="164" fontId="7" fillId="0" borderId="0" xfId="191" applyNumberFormat="1" applyFont="1" applyFill="1" applyBorder="1" applyAlignment="1" applyProtection="1">
      <alignment horizontal="left"/>
      <protection locked="0"/>
    </xf>
    <xf numFmtId="164" fontId="7" fillId="0" borderId="0" xfId="191" applyNumberFormat="1" applyFont="1" applyBorder="1" applyAlignment="1" applyProtection="1">
      <alignment horizontal="left"/>
      <protection locked="0"/>
    </xf>
    <xf numFmtId="3" fontId="7" fillId="0" borderId="0" xfId="191" applyNumberFormat="1" applyFont="1" applyAlignment="1" applyProtection="1">
      <alignment vertical="center" wrapText="1"/>
      <protection locked="0"/>
    </xf>
    <xf numFmtId="41" fontId="7" fillId="0" borderId="0" xfId="191" applyNumberFormat="1" applyFont="1" applyBorder="1" applyAlignment="1" applyProtection="1">
      <alignment vertical="center"/>
      <protection locked="0"/>
    </xf>
    <xf numFmtId="41" fontId="7" fillId="0" borderId="0" xfId="191" applyNumberFormat="1" applyFont="1" applyBorder="1" applyAlignment="1" applyProtection="1">
      <alignment horizontal="center" vertical="center"/>
      <protection locked="0"/>
    </xf>
    <xf numFmtId="41" fontId="7" fillId="0" borderId="0" xfId="191" applyNumberFormat="1" applyFont="1" applyAlignment="1" applyProtection="1">
      <alignment horizontal="right"/>
      <protection locked="0"/>
    </xf>
    <xf numFmtId="10" fontId="7" fillId="0" borderId="0" xfId="0" applyNumberFormat="1" applyFont="1" applyBorder="1"/>
    <xf numFmtId="0" fontId="7" fillId="0" borderId="0" xfId="0" applyFont="1" applyFill="1" applyAlignment="1">
      <alignment horizontal="center"/>
    </xf>
    <xf numFmtId="41" fontId="7" fillId="0" borderId="0" xfId="0" applyNumberFormat="1" applyFont="1"/>
    <xf numFmtId="0" fontId="7" fillId="0" borderId="0" xfId="0" applyFont="1" applyFill="1" applyBorder="1" applyAlignment="1"/>
    <xf numFmtId="3" fontId="14" fillId="0" borderId="0" xfId="191" applyNumberFormat="1" applyFont="1" applyFill="1" applyBorder="1" applyAlignment="1" applyProtection="1">
      <protection locked="0"/>
    </xf>
    <xf numFmtId="41" fontId="7" fillId="0" borderId="11" xfId="191" applyNumberFormat="1" applyFont="1" applyFill="1" applyBorder="1" applyAlignment="1" applyProtection="1">
      <protection locked="0"/>
    </xf>
    <xf numFmtId="41" fontId="7" fillId="0" borderId="0" xfId="191" applyNumberFormat="1" applyFont="1" applyFill="1" applyBorder="1" applyAlignment="1" applyProtection="1">
      <protection locked="0"/>
    </xf>
    <xf numFmtId="41" fontId="14" fillId="0" borderId="0" xfId="191" applyNumberFormat="1" applyFont="1" applyFill="1" applyBorder="1" applyAlignment="1" applyProtection="1">
      <protection locked="0"/>
    </xf>
    <xf numFmtId="0" fontId="14" fillId="0" borderId="0" xfId="191" applyNumberFormat="1" applyFont="1" applyFill="1" applyBorder="1" applyAlignment="1" applyProtection="1">
      <protection locked="0"/>
    </xf>
    <xf numFmtId="0" fontId="6" fillId="0" borderId="0" xfId="0" applyFont="1" applyFill="1"/>
    <xf numFmtId="0" fontId="7" fillId="0" borderId="0" xfId="191" applyNumberFormat="1" applyFont="1" applyFill="1" applyBorder="1" applyAlignment="1" applyProtection="1">
      <protection locked="0"/>
    </xf>
    <xf numFmtId="3" fontId="7" fillId="0" borderId="0" xfId="191" applyNumberFormat="1" applyFont="1" applyFill="1" applyBorder="1" applyAlignment="1" applyProtection="1">
      <protection locked="0"/>
    </xf>
    <xf numFmtId="41" fontId="7" fillId="0" borderId="0" xfId="191" applyNumberFormat="1" applyFont="1" applyFill="1" applyBorder="1" applyAlignment="1" applyProtection="1">
      <alignment horizontal="center"/>
      <protection locked="0"/>
    </xf>
    <xf numFmtId="0" fontId="7" fillId="0" borderId="0" xfId="191" applyNumberFormat="1" applyFont="1" applyFill="1" applyBorder="1" applyProtection="1">
      <protection locked="0"/>
    </xf>
    <xf numFmtId="3" fontId="7" fillId="0" borderId="0" xfId="191" applyNumberFormat="1" applyFont="1" applyFill="1" applyBorder="1" applyAlignment="1" applyProtection="1">
      <alignment horizontal="center"/>
      <protection locked="0"/>
    </xf>
    <xf numFmtId="0" fontId="7" fillId="0" borderId="0" xfId="191" applyNumberFormat="1" applyFont="1" applyFill="1" applyBorder="1" applyAlignment="1" applyProtection="1">
      <alignment horizontal="center"/>
      <protection locked="0"/>
    </xf>
    <xf numFmtId="10" fontId="7" fillId="0" borderId="0" xfId="191" applyNumberFormat="1" applyFont="1" applyFill="1" applyBorder="1" applyAlignment="1" applyProtection="1">
      <protection locked="0"/>
    </xf>
    <xf numFmtId="167" fontId="7" fillId="0" borderId="0" xfId="191" applyNumberFormat="1" applyFont="1" applyFill="1" applyBorder="1" applyAlignment="1" applyProtection="1">
      <protection locked="0"/>
    </xf>
    <xf numFmtId="168" fontId="7" fillId="0" borderId="0" xfId="191" applyFont="1" applyFill="1" applyBorder="1" applyAlignment="1" applyProtection="1">
      <protection locked="0"/>
    </xf>
    <xf numFmtId="3" fontId="7" fillId="0" borderId="0" xfId="191" quotePrefix="1" applyNumberFormat="1" applyFont="1" applyFill="1" applyBorder="1" applyAlignment="1" applyProtection="1">
      <protection locked="0"/>
    </xf>
    <xf numFmtId="3" fontId="39" fillId="0" borderId="0" xfId="191" applyNumberFormat="1" applyFont="1" applyFill="1" applyBorder="1" applyAlignment="1" applyProtection="1">
      <alignment horizontal="right"/>
      <protection locked="0"/>
    </xf>
    <xf numFmtId="167" fontId="39" fillId="0" borderId="0" xfId="191" applyNumberFormat="1" applyFont="1" applyFill="1" applyBorder="1" applyAlignment="1" applyProtection="1">
      <protection locked="0"/>
    </xf>
    <xf numFmtId="3" fontId="39" fillId="0" borderId="0" xfId="191" quotePrefix="1" applyNumberFormat="1" applyFont="1" applyFill="1" applyBorder="1" applyAlignment="1" applyProtection="1">
      <protection locked="0"/>
    </xf>
    <xf numFmtId="0" fontId="7" fillId="0" borderId="0" xfId="0" applyFont="1" applyFill="1" applyBorder="1" applyAlignment="1">
      <alignment horizontal="center"/>
    </xf>
    <xf numFmtId="41" fontId="7" fillId="0" borderId="0" xfId="0" applyNumberFormat="1" applyFont="1" applyFill="1" applyBorder="1"/>
    <xf numFmtId="169" fontId="7" fillId="0" borderId="0" xfId="86" applyNumberFormat="1" applyFont="1" applyFill="1" applyBorder="1"/>
    <xf numFmtId="41" fontId="48" fillId="0" borderId="0" xfId="191" applyNumberFormat="1" applyFont="1" applyFill="1" applyBorder="1" applyAlignment="1" applyProtection="1">
      <protection locked="0"/>
    </xf>
    <xf numFmtId="0" fontId="0" fillId="0" borderId="0" xfId="0" applyAlignment="1"/>
    <xf numFmtId="41" fontId="7" fillId="0" borderId="11" xfId="0" applyNumberFormat="1" applyFont="1" applyFill="1" applyBorder="1"/>
    <xf numFmtId="41" fontId="7" fillId="0" borderId="0" xfId="0" applyNumberFormat="1" applyFont="1" applyBorder="1"/>
    <xf numFmtId="41" fontId="48" fillId="0" borderId="0" xfId="0" applyNumberFormat="1" applyFont="1"/>
    <xf numFmtId="0" fontId="9" fillId="0" borderId="0" xfId="0" applyFont="1" applyFill="1" applyAlignment="1">
      <alignment horizontal="left"/>
    </xf>
    <xf numFmtId="0" fontId="0" fillId="0" borderId="0" xfId="0" applyFill="1" applyAlignment="1"/>
    <xf numFmtId="41" fontId="7" fillId="0" borderId="0" xfId="0" applyNumberFormat="1" applyFont="1" applyFill="1"/>
    <xf numFmtId="169" fontId="7" fillId="0" borderId="0" xfId="86" applyNumberFormat="1" applyFont="1" applyFill="1"/>
    <xf numFmtId="10" fontId="7" fillId="0" borderId="11" xfId="0" applyNumberFormat="1" applyFont="1" applyFill="1" applyBorder="1"/>
    <xf numFmtId="9" fontId="7" fillId="0" borderId="11" xfId="196" applyFont="1" applyFill="1" applyBorder="1"/>
    <xf numFmtId="169" fontId="7" fillId="0" borderId="11" xfId="86" applyNumberFormat="1" applyFont="1" applyFill="1" applyBorder="1" applyAlignment="1"/>
    <xf numFmtId="41" fontId="0" fillId="0" borderId="0" xfId="0" applyNumberFormat="1"/>
    <xf numFmtId="41" fontId="7" fillId="0" borderId="11" xfId="0" applyNumberFormat="1" applyFont="1" applyBorder="1"/>
    <xf numFmtId="10" fontId="7" fillId="0" borderId="0" xfId="0" applyNumberFormat="1" applyFont="1"/>
    <xf numFmtId="10" fontId="48" fillId="0" borderId="0" xfId="0" applyNumberFormat="1" applyFont="1"/>
    <xf numFmtId="0" fontId="7" fillId="0" borderId="0" xfId="0" applyFont="1" applyFill="1" applyBorder="1" applyAlignment="1">
      <alignment wrapText="1"/>
    </xf>
    <xf numFmtId="169" fontId="7" fillId="0" borderId="11" xfId="86" applyNumberFormat="1" applyFont="1" applyFill="1" applyBorder="1"/>
    <xf numFmtId="0" fontId="0" fillId="0" borderId="0" xfId="0" applyFill="1"/>
    <xf numFmtId="173" fontId="7" fillId="0" borderId="0" xfId="0" applyNumberFormat="1" applyFont="1"/>
    <xf numFmtId="43" fontId="7" fillId="0" borderId="0" xfId="86" applyFont="1"/>
    <xf numFmtId="43" fontId="7" fillId="0" borderId="0" xfId="86" applyNumberFormat="1" applyFont="1"/>
    <xf numFmtId="169" fontId="7" fillId="0" borderId="0" xfId="0" applyNumberFormat="1" applyFont="1"/>
    <xf numFmtId="0" fontId="50" fillId="0" borderId="0" xfId="0" applyFont="1"/>
    <xf numFmtId="0" fontId="46" fillId="0" borderId="0" xfId="0" applyFont="1" applyAlignment="1">
      <alignment horizontal="right"/>
    </xf>
    <xf numFmtId="0" fontId="46" fillId="0" borderId="0" xfId="0" applyFont="1" applyFill="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7" fillId="0" borderId="0" xfId="0" applyNumberFormat="1" applyFont="1" applyBorder="1" applyAlignment="1">
      <alignment horizontal="center"/>
    </xf>
    <xf numFmtId="0" fontId="50" fillId="0" borderId="0" xfId="0" applyFont="1" applyFill="1"/>
    <xf numFmtId="0" fontId="7" fillId="0" borderId="0" xfId="86" applyNumberFormat="1" applyFont="1" applyFill="1" applyAlignment="1" applyProtection="1">
      <protection locked="0"/>
    </xf>
    <xf numFmtId="168" fontId="15" fillId="0" borderId="17" xfId="191" applyFont="1" applyBorder="1" applyAlignment="1" applyProtection="1">
      <protection locked="0"/>
    </xf>
    <xf numFmtId="168" fontId="7" fillId="0" borderId="18" xfId="191" applyFont="1" applyBorder="1" applyAlignment="1" applyProtection="1">
      <protection locked="0"/>
    </xf>
    <xf numFmtId="3" fontId="7" fillId="0" borderId="19" xfId="191" applyNumberFormat="1" applyFont="1" applyBorder="1" applyAlignment="1" applyProtection="1">
      <protection locked="0"/>
    </xf>
    <xf numFmtId="167" fontId="7" fillId="0" borderId="0" xfId="191" applyNumberFormat="1" applyFont="1" applyAlignment="1" applyProtection="1">
      <protection locked="0"/>
    </xf>
    <xf numFmtId="0" fontId="0" fillId="0" borderId="0" xfId="0" applyBorder="1" applyAlignment="1">
      <alignment horizontal="right"/>
    </xf>
    <xf numFmtId="170" fontId="0" fillId="0" borderId="0" xfId="0" applyNumberFormat="1" applyBorder="1"/>
    <xf numFmtId="170" fontId="0" fillId="0" borderId="14" xfId="0" applyNumberFormat="1" applyBorder="1"/>
    <xf numFmtId="170" fontId="0" fillId="0" borderId="6" xfId="0" applyNumberFormat="1" applyBorder="1"/>
    <xf numFmtId="167" fontId="48" fillId="0" borderId="0" xfId="191" applyNumberFormat="1" applyFont="1" applyAlignment="1" applyProtection="1">
      <protection locked="0"/>
    </xf>
    <xf numFmtId="169" fontId="0" fillId="0" borderId="0" xfId="0" applyNumberFormat="1" applyBorder="1"/>
    <xf numFmtId="172" fontId="7" fillId="0" borderId="0" xfId="191" applyNumberFormat="1" applyFont="1" applyAlignment="1" applyProtection="1">
      <protection locked="0"/>
    </xf>
    <xf numFmtId="165" fontId="7" fillId="0" borderId="15" xfId="191" applyNumberFormat="1" applyFont="1" applyBorder="1" applyAlignment="1" applyProtection="1">
      <alignment horizontal="center"/>
      <protection locked="0"/>
    </xf>
    <xf numFmtId="169" fontId="7" fillId="0" borderId="6" xfId="191" quotePrefix="1" applyNumberFormat="1" applyFont="1" applyBorder="1" applyAlignment="1" applyProtection="1">
      <alignment horizontal="center"/>
      <protection locked="0"/>
    </xf>
    <xf numFmtId="41" fontId="48" fillId="0" borderId="11" xfId="191" applyNumberFormat="1" applyFont="1" applyFill="1" applyBorder="1" applyAlignment="1" applyProtection="1">
      <protection locked="0"/>
    </xf>
    <xf numFmtId="9" fontId="7" fillId="0" borderId="0" xfId="196" applyFont="1" applyFill="1" applyBorder="1"/>
    <xf numFmtId="169" fontId="7" fillId="0" borderId="0" xfId="86" applyNumberFormat="1" applyFont="1" applyFill="1" applyBorder="1" applyAlignment="1"/>
    <xf numFmtId="41" fontId="56" fillId="0" borderId="0" xfId="0" applyNumberFormat="1" applyFont="1"/>
    <xf numFmtId="10" fontId="0" fillId="0" borderId="0" xfId="0" applyNumberFormat="1"/>
    <xf numFmtId="164" fontId="1" fillId="0" borderId="0" xfId="196" applyNumberFormat="1"/>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169" fontId="7" fillId="0" borderId="14" xfId="86" applyNumberFormat="1" applyFont="1" applyFill="1" applyBorder="1" applyAlignment="1">
      <alignment horizontal="right"/>
    </xf>
    <xf numFmtId="0" fontId="7" fillId="0" borderId="14" xfId="0" applyFont="1" applyFill="1" applyBorder="1" applyAlignment="1">
      <alignment horizontal="right"/>
    </xf>
    <xf numFmtId="0" fontId="7" fillId="0" borderId="16" xfId="0" applyFont="1" applyFill="1" applyBorder="1" applyAlignment="1">
      <alignment horizontal="right"/>
    </xf>
    <xf numFmtId="0" fontId="7" fillId="27" borderId="6" xfId="191" applyNumberFormat="1" applyFont="1" applyFill="1" applyBorder="1" applyAlignment="1" applyProtection="1">
      <alignment horizontal="center"/>
      <protection locked="0"/>
    </xf>
    <xf numFmtId="0" fontId="7" fillId="27" borderId="0" xfId="191" applyNumberFormat="1" applyFont="1" applyFill="1" applyBorder="1" applyAlignment="1" applyProtection="1">
      <alignment horizontal="center"/>
      <protection locked="0"/>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63" fillId="0" borderId="0" xfId="0" applyFont="1" applyAlignment="1">
      <alignment horizontal="center"/>
    </xf>
    <xf numFmtId="0" fontId="0" fillId="0" borderId="0" xfId="0" quotePrefix="1" applyAlignment="1">
      <alignment horizontal="left"/>
    </xf>
    <xf numFmtId="0" fontId="65" fillId="0" borderId="0" xfId="0" quotePrefix="1" applyFont="1" applyAlignment="1">
      <alignment horizontal="left"/>
    </xf>
    <xf numFmtId="0" fontId="0" fillId="0" borderId="27" xfId="0" applyBorder="1"/>
    <xf numFmtId="0" fontId="66" fillId="0" borderId="0" xfId="0" quotePrefix="1" applyFont="1" applyAlignment="1">
      <alignment horizontal="left"/>
    </xf>
    <xf numFmtId="0" fontId="64" fillId="0" borderId="0" xfId="0" quotePrefix="1" applyFont="1" applyAlignment="1">
      <alignment horizontal="left"/>
    </xf>
    <xf numFmtId="169" fontId="54" fillId="0" borderId="24" xfId="0" applyNumberFormat="1" applyFont="1" applyBorder="1"/>
    <xf numFmtId="169" fontId="54" fillId="0" borderId="25" xfId="0" applyNumberFormat="1" applyFont="1" applyBorder="1"/>
    <xf numFmtId="0" fontId="39" fillId="0" borderId="0" xfId="0" quotePrefix="1" applyFont="1" applyAlignment="1">
      <alignment horizontal="left"/>
    </xf>
    <xf numFmtId="0" fontId="46" fillId="0" borderId="0" xfId="0" applyFont="1" applyAlignment="1">
      <alignment horizontal="center"/>
    </xf>
    <xf numFmtId="0" fontId="0" fillId="0" borderId="23" xfId="0" applyBorder="1" applyAlignment="1"/>
    <xf numFmtId="0" fontId="68" fillId="0" borderId="0" xfId="0" quotePrefix="1" applyFont="1" applyAlignment="1">
      <alignment horizontal="left"/>
    </xf>
    <xf numFmtId="0" fontId="68" fillId="0" borderId="0" xfId="0" applyFont="1"/>
    <xf numFmtId="0" fontId="69"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0" fontId="52" fillId="0" borderId="0" xfId="0" applyFont="1" applyFill="1" applyAlignment="1">
      <alignment horizontal="left"/>
    </xf>
    <xf numFmtId="3" fontId="6" fillId="0" borderId="0" xfId="0" applyNumberFormat="1" applyFont="1" applyAlignment="1">
      <alignment horizontal="center"/>
    </xf>
    <xf numFmtId="0" fontId="14" fillId="0" borderId="0" xfId="0" applyNumberFormat="1" applyFont="1" applyAlignment="1">
      <alignment horizontal="center"/>
    </xf>
    <xf numFmtId="0" fontId="14" fillId="0" borderId="0" xfId="0" applyNumberFormat="1" applyFont="1" applyFill="1" applyAlignment="1">
      <alignment horizontal="center"/>
    </xf>
    <xf numFmtId="168" fontId="14" fillId="0" borderId="0" xfId="191" applyFont="1" applyFill="1" applyAlignment="1"/>
    <xf numFmtId="49" fontId="70" fillId="0" borderId="0" xfId="191" applyNumberFormat="1" applyFont="1" applyFill="1" applyAlignment="1" applyProtection="1">
      <alignment horizontal="center"/>
      <protection locked="0"/>
    </xf>
    <xf numFmtId="0" fontId="39" fillId="0" borderId="0" xfId="0" applyFont="1" applyBorder="1" applyAlignment="1">
      <alignment horizontal="center"/>
    </xf>
    <xf numFmtId="0" fontId="65" fillId="0" borderId="0" xfId="0" applyFont="1" applyAlignment="1">
      <alignment horizontal="center"/>
    </xf>
    <xf numFmtId="0" fontId="65" fillId="0" borderId="0" xfId="0" applyFont="1" applyBorder="1" applyAlignment="1">
      <alignment horizontal="center"/>
    </xf>
    <xf numFmtId="0" fontId="65" fillId="0" borderId="0" xfId="0" applyFont="1" applyFill="1" applyBorder="1" applyAlignment="1">
      <alignment horizontal="center"/>
    </xf>
    <xf numFmtId="169" fontId="1" fillId="0" borderId="11" xfId="86" applyNumberFormat="1" applyBorder="1"/>
    <xf numFmtId="43" fontId="1" fillId="0" borderId="0" xfId="86"/>
    <xf numFmtId="0" fontId="65" fillId="0" borderId="0" xfId="0" quotePrefix="1" applyFont="1" applyFill="1" applyBorder="1" applyAlignment="1">
      <alignment horizontal="center" wrapText="1"/>
    </xf>
    <xf numFmtId="0" fontId="65" fillId="0" borderId="0" xfId="0" quotePrefix="1" applyFont="1" applyBorder="1" applyAlignment="1">
      <alignment horizontal="centerContinuous"/>
    </xf>
    <xf numFmtId="0" fontId="39" fillId="0" borderId="11" xfId="0" applyFont="1" applyBorder="1" applyAlignment="1">
      <alignment horizontal="centerContinuous"/>
    </xf>
    <xf numFmtId="0" fontId="71" fillId="0" borderId="0" xfId="0" applyFont="1" applyFill="1"/>
    <xf numFmtId="0" fontId="65" fillId="0" borderId="0" xfId="0" applyFont="1" applyAlignment="1">
      <alignment horizontal="center" wrapText="1"/>
    </xf>
    <xf numFmtId="0" fontId="65" fillId="0" borderId="0" xfId="0" applyFont="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7" fillId="0" borderId="0" xfId="0" applyFont="1" applyFill="1" applyAlignment="1">
      <alignment horizontal="center" vertical="center"/>
    </xf>
    <xf numFmtId="169" fontId="1" fillId="0" borderId="0" xfId="86" applyNumberFormat="1" applyAlignment="1">
      <alignment vertical="center"/>
    </xf>
    <xf numFmtId="169" fontId="39" fillId="0" borderId="0" xfId="86" applyNumberFormat="1" applyFont="1" applyAlignment="1">
      <alignment horizontal="center" vertical="center"/>
    </xf>
    <xf numFmtId="169" fontId="39" fillId="0" borderId="0" xfId="86" applyNumberFormat="1" applyFont="1" applyAlignment="1">
      <alignment vertical="center"/>
    </xf>
    <xf numFmtId="0" fontId="7" fillId="0" borderId="0" xfId="0" applyFont="1" applyAlignment="1">
      <alignment vertical="center"/>
    </xf>
    <xf numFmtId="43" fontId="1" fillId="0" borderId="0" xfId="86" applyAlignment="1">
      <alignment vertical="center"/>
    </xf>
    <xf numFmtId="0" fontId="0" fillId="0" borderId="0" xfId="0" quotePrefix="1" applyAlignment="1">
      <alignment horizontal="left" vertical="center"/>
    </xf>
    <xf numFmtId="169" fontId="64" fillId="26" borderId="0" xfId="0" applyNumberFormat="1" applyFont="1" applyFill="1" applyAlignment="1">
      <alignment vertical="center"/>
    </xf>
    <xf numFmtId="0" fontId="7" fillId="0" borderId="0" xfId="0" applyFont="1" applyFill="1" applyAlignment="1">
      <alignment vertical="center" wrapText="1"/>
    </xf>
    <xf numFmtId="169" fontId="72" fillId="0" borderId="0" xfId="86" applyNumberFormat="1" applyFont="1" applyAlignment="1">
      <alignment horizontal="center" vertical="center"/>
    </xf>
    <xf numFmtId="3" fontId="14" fillId="0" borderId="0" xfId="0" quotePrefix="1" applyNumberFormat="1" applyFont="1" applyFill="1" applyAlignment="1">
      <alignment horizontal="center"/>
    </xf>
    <xf numFmtId="0" fontId="0" fillId="0" borderId="33" xfId="0" applyBorder="1"/>
    <xf numFmtId="0" fontId="0" fillId="0" borderId="2" xfId="0" applyBorder="1"/>
    <xf numFmtId="169" fontId="1" fillId="0" borderId="2" xfId="86" applyNumberFormat="1" applyBorder="1"/>
    <xf numFmtId="0" fontId="0" fillId="0" borderId="34" xfId="0" applyBorder="1"/>
    <xf numFmtId="0" fontId="0" fillId="0" borderId="0" xfId="0" applyBorder="1" applyAlignment="1">
      <alignment horizontal="center"/>
    </xf>
    <xf numFmtId="49" fontId="70" fillId="0" borderId="0" xfId="191" applyNumberFormat="1" applyFont="1" applyFill="1" applyBorder="1" applyAlignment="1" applyProtection="1">
      <alignment horizontal="center"/>
      <protection locked="0"/>
    </xf>
    <xf numFmtId="0" fontId="0" fillId="0" borderId="35" xfId="0" applyBorder="1" applyAlignment="1">
      <alignment horizontal="center"/>
    </xf>
    <xf numFmtId="0" fontId="0" fillId="0" borderId="36" xfId="0" applyBorder="1"/>
    <xf numFmtId="0" fontId="0" fillId="0" borderId="11" xfId="0" applyBorder="1"/>
    <xf numFmtId="0" fontId="0" fillId="0" borderId="37" xfId="0" applyBorder="1"/>
    <xf numFmtId="169" fontId="7" fillId="0" borderId="14" xfId="86" applyNumberFormat="1" applyFont="1" applyFill="1" applyBorder="1"/>
    <xf numFmtId="169" fontId="7" fillId="0" borderId="16" xfId="86" applyNumberFormat="1" applyFont="1" applyFill="1" applyBorder="1"/>
    <xf numFmtId="169" fontId="39" fillId="26" borderId="26" xfId="86" applyNumberFormat="1" applyFont="1" applyFill="1" applyBorder="1" applyAlignment="1">
      <alignment horizontal="center"/>
    </xf>
    <xf numFmtId="169" fontId="39" fillId="26" borderId="16" xfId="86" applyNumberFormat="1" applyFont="1" applyFill="1" applyBorder="1" applyAlignment="1">
      <alignment horizontal="center"/>
    </xf>
    <xf numFmtId="0" fontId="65" fillId="0" borderId="0" xfId="0" applyFont="1" applyFill="1" applyBorder="1" applyAlignment="1">
      <alignment horizontal="center" wrapText="1"/>
    </xf>
    <xf numFmtId="43" fontId="53" fillId="0" borderId="0" xfId="86" applyFont="1" applyAlignment="1">
      <alignment horizontal="center" vertical="center"/>
    </xf>
    <xf numFmtId="0" fontId="65" fillId="0" borderId="0" xfId="0" quotePrefix="1" applyFont="1" applyBorder="1" applyAlignment="1">
      <alignment horizontal="center" wrapText="1"/>
    </xf>
    <xf numFmtId="169" fontId="1" fillId="0" borderId="0" xfId="86" applyNumberFormat="1" applyFont="1" applyFill="1" applyAlignment="1">
      <alignment vertical="center"/>
    </xf>
    <xf numFmtId="169" fontId="1" fillId="0" borderId="0" xfId="86" applyNumberFormat="1" applyFill="1" applyAlignment="1">
      <alignment vertical="center"/>
    </xf>
    <xf numFmtId="0" fontId="0" fillId="0" borderId="0" xfId="0" applyFill="1" applyAlignment="1">
      <alignment vertical="center"/>
    </xf>
    <xf numFmtId="0" fontId="65" fillId="0" borderId="11" xfId="0" applyFont="1" applyBorder="1" applyAlignment="1">
      <alignment horizontal="centerContinuous"/>
    </xf>
    <xf numFmtId="0" fontId="65" fillId="0" borderId="11" xfId="0" quotePrefix="1" applyFont="1" applyBorder="1" applyAlignment="1">
      <alignment horizontal="centerContinuous"/>
    </xf>
    <xf numFmtId="0" fontId="39" fillId="0" borderId="11" xfId="0" applyFont="1" applyBorder="1" applyAlignment="1">
      <alignment horizontal="left"/>
    </xf>
    <xf numFmtId="0" fontId="0" fillId="0" borderId="25" xfId="0" applyBorder="1"/>
    <xf numFmtId="169" fontId="0" fillId="0" borderId="25" xfId="0" applyNumberFormat="1" applyBorder="1"/>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164" fontId="1" fillId="0" borderId="0" xfId="0" applyNumberFormat="1" applyFont="1" applyFill="1"/>
    <xf numFmtId="170" fontId="0" fillId="0" borderId="0" xfId="106" applyNumberFormat="1" applyFont="1"/>
    <xf numFmtId="169" fontId="0" fillId="0" borderId="26" xfId="0" applyNumberFormat="1" applyBorder="1"/>
    <xf numFmtId="0" fontId="0" fillId="0" borderId="0" xfId="0" quotePrefix="1" applyBorder="1" applyAlignment="1">
      <alignment horizontal="right"/>
    </xf>
    <xf numFmtId="0" fontId="7" fillId="0" borderId="0" xfId="0" quotePrefix="1" applyFont="1" applyBorder="1" applyAlignment="1">
      <alignment horizontal="right"/>
    </xf>
    <xf numFmtId="0" fontId="53" fillId="0" borderId="0" xfId="0" quotePrefix="1" applyFont="1" applyAlignment="1">
      <alignment horizontal="left"/>
    </xf>
    <xf numFmtId="43" fontId="74" fillId="0" borderId="0" xfId="86" applyFont="1" applyAlignment="1">
      <alignment horizontal="left" vertical="center"/>
    </xf>
    <xf numFmtId="169" fontId="74" fillId="0" borderId="0" xfId="86" applyNumberFormat="1" applyFont="1" applyAlignment="1">
      <alignment horizontal="center" vertical="center"/>
    </xf>
    <xf numFmtId="0" fontId="1" fillId="0" borderId="0" xfId="0" applyFont="1" applyAlignment="1">
      <alignment horizontal="center" vertical="center"/>
    </xf>
    <xf numFmtId="0" fontId="0" fillId="0" borderId="0" xfId="0" quotePrefix="1" applyAlignment="1">
      <alignment horizontal="center" vertical="center"/>
    </xf>
    <xf numFmtId="169" fontId="7" fillId="0" borderId="0" xfId="0" applyNumberFormat="1" applyFont="1" applyFill="1" applyBorder="1"/>
    <xf numFmtId="169" fontId="39" fillId="0" borderId="25" xfId="0" applyNumberFormat="1" applyFont="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70" fontId="7" fillId="0" borderId="24" xfId="0" applyNumberFormat="1" applyFont="1" applyFill="1" applyBorder="1"/>
    <xf numFmtId="0" fontId="7" fillId="0" borderId="25" xfId="0" applyNumberFormat="1" applyFont="1" applyFill="1" applyBorder="1" applyAlignment="1">
      <alignment horizontal="center"/>
    </xf>
    <xf numFmtId="170" fontId="7" fillId="0" borderId="14" xfId="0" applyNumberFormat="1" applyFont="1" applyFill="1" applyBorder="1"/>
    <xf numFmtId="174" fontId="5" fillId="0" borderId="0" xfId="0" applyNumberFormat="1" applyFont="1" applyAlignment="1">
      <alignment horizontal="center" vertical="center"/>
    </xf>
    <xf numFmtId="170" fontId="54" fillId="0" borderId="25" xfId="0" applyNumberFormat="1" applyFont="1" applyFill="1" applyBorder="1"/>
    <xf numFmtId="170" fontId="7" fillId="0" borderId="25" xfId="0" applyNumberFormat="1" applyFont="1" applyFill="1" applyBorder="1"/>
    <xf numFmtId="0" fontId="7" fillId="0" borderId="17" xfId="0" quotePrefix="1" applyFont="1" applyFill="1" applyBorder="1" applyAlignment="1">
      <alignment horizontal="left"/>
    </xf>
    <xf numFmtId="0" fontId="7" fillId="0" borderId="38" xfId="0" quotePrefix="1" applyFont="1" applyFill="1" applyBorder="1" applyAlignment="1">
      <alignment horizontal="left"/>
    </xf>
    <xf numFmtId="0" fontId="54" fillId="0" borderId="39" xfId="0" quotePrefix="1" applyFont="1" applyFill="1" applyBorder="1" applyAlignment="1">
      <alignment horizontal="right"/>
    </xf>
    <xf numFmtId="169" fontId="7" fillId="0" borderId="26" xfId="0" applyNumberFormat="1" applyFont="1" applyFill="1" applyBorder="1"/>
    <xf numFmtId="0" fontId="55" fillId="0" borderId="0" xfId="0" quotePrefix="1" applyFont="1" applyFill="1" applyAlignment="1">
      <alignment horizontal="left"/>
    </xf>
    <xf numFmtId="0" fontId="7" fillId="0" borderId="0" xfId="0" quotePrefix="1" applyFont="1" applyAlignment="1">
      <alignment horizontal="left" vertical="center"/>
    </xf>
    <xf numFmtId="170" fontId="7" fillId="0" borderId="13" xfId="0" applyNumberFormat="1" applyFont="1" applyBorder="1"/>
    <xf numFmtId="169" fontId="39" fillId="0" borderId="31" xfId="86" applyNumberFormat="1" applyFont="1" applyBorder="1" applyAlignment="1">
      <alignment horizontal="center"/>
    </xf>
    <xf numFmtId="170" fontId="54" fillId="0" borderId="33" xfId="0" applyNumberFormat="1" applyFont="1" applyFill="1" applyBorder="1"/>
    <xf numFmtId="170" fontId="54" fillId="0" borderId="34" xfId="0" applyNumberFormat="1" applyFont="1" applyFill="1" applyBorder="1"/>
    <xf numFmtId="170" fontId="7" fillId="0" borderId="33" xfId="0" applyNumberFormat="1" applyFont="1" applyBorder="1"/>
    <xf numFmtId="170" fontId="7" fillId="0" borderId="34" xfId="0" applyNumberFormat="1" applyFont="1" applyBorder="1"/>
    <xf numFmtId="170" fontId="7" fillId="0" borderId="2" xfId="0" applyNumberFormat="1" applyFont="1" applyBorder="1"/>
    <xf numFmtId="170" fontId="7" fillId="0" borderId="40" xfId="0" applyNumberFormat="1" applyFont="1" applyFill="1" applyBorder="1"/>
    <xf numFmtId="170" fontId="7" fillId="0" borderId="10" xfId="0" applyNumberFormat="1" applyFont="1" applyBorder="1"/>
    <xf numFmtId="170" fontId="7" fillId="0" borderId="40" xfId="0" applyNumberFormat="1" applyFont="1" applyBorder="1"/>
    <xf numFmtId="169" fontId="1" fillId="0" borderId="0" xfId="86" applyNumberFormat="1" applyBorder="1" applyAlignment="1">
      <alignment vertical="center"/>
    </xf>
    <xf numFmtId="169" fontId="1" fillId="0" borderId="0" xfId="86" applyNumberFormat="1" applyFont="1" applyBorder="1" applyAlignment="1">
      <alignment vertical="center"/>
    </xf>
    <xf numFmtId="169" fontId="39" fillId="0" borderId="0" xfId="86" applyNumberFormat="1" applyFont="1" applyBorder="1" applyAlignment="1">
      <alignment vertical="center"/>
    </xf>
    <xf numFmtId="0" fontId="0" fillId="0" borderId="41" xfId="0" applyBorder="1" applyAlignment="1">
      <alignment horizontal="center" wrapText="1"/>
    </xf>
    <xf numFmtId="0" fontId="5" fillId="0" borderId="0" xfId="0" applyFont="1"/>
    <xf numFmtId="170" fontId="7" fillId="0" borderId="19" xfId="0" applyNumberFormat="1" applyFont="1" applyBorder="1"/>
    <xf numFmtId="170" fontId="7" fillId="0" borderId="0" xfId="0" applyNumberFormat="1" applyFont="1" applyFill="1" applyBorder="1"/>
    <xf numFmtId="169" fontId="1" fillId="0" borderId="0" xfId="86" applyNumberFormat="1" applyFont="1" applyFill="1" applyBorder="1" applyAlignment="1">
      <alignment vertical="center"/>
    </xf>
    <xf numFmtId="169" fontId="1" fillId="0" borderId="0" xfId="86" applyNumberFormat="1" applyFill="1" applyBorder="1" applyAlignment="1">
      <alignment vertical="center"/>
    </xf>
    <xf numFmtId="0" fontId="0" fillId="0" borderId="0" xfId="0" applyFill="1" applyBorder="1" applyAlignment="1">
      <alignment vertical="center"/>
    </xf>
    <xf numFmtId="0" fontId="7" fillId="0" borderId="0" xfId="0" quotePrefix="1" applyFont="1" applyAlignment="1">
      <alignment horizontal="center" vertical="center"/>
    </xf>
    <xf numFmtId="169" fontId="78" fillId="26" borderId="0" xfId="0" applyNumberFormat="1" applyFont="1" applyFill="1" applyBorder="1"/>
    <xf numFmtId="169" fontId="78" fillId="26" borderId="24" xfId="86" applyNumberFormat="1" applyFont="1" applyFill="1" applyBorder="1"/>
    <xf numFmtId="169" fontId="78" fillId="26" borderId="25" xfId="86" applyNumberFormat="1" applyFont="1" applyFill="1" applyBorder="1"/>
    <xf numFmtId="169" fontId="78" fillId="26" borderId="14" xfId="86" applyNumberFormat="1" applyFont="1" applyFill="1" applyBorder="1"/>
    <xf numFmtId="169" fontId="78" fillId="26" borderId="25" xfId="0" applyNumberFormat="1" applyFont="1" applyFill="1" applyBorder="1"/>
    <xf numFmtId="169" fontId="78" fillId="26" borderId="24" xfId="0" applyNumberFormat="1" applyFont="1" applyFill="1" applyBorder="1"/>
    <xf numFmtId="170" fontId="54" fillId="0" borderId="13" xfId="0" applyNumberFormat="1" applyFont="1" applyFill="1" applyBorder="1"/>
    <xf numFmtId="170" fontId="54" fillId="0" borderId="17" xfId="0" applyNumberFormat="1" applyFont="1" applyFill="1" applyBorder="1"/>
    <xf numFmtId="169" fontId="78" fillId="26" borderId="14" xfId="86" applyNumberFormat="1" applyFont="1" applyFill="1" applyBorder="1" applyAlignment="1">
      <alignment horizontal="right"/>
    </xf>
    <xf numFmtId="0" fontId="79" fillId="27" borderId="22" xfId="0" applyFont="1" applyFill="1" applyBorder="1" applyAlignment="1"/>
    <xf numFmtId="0" fontId="7" fillId="0" borderId="0" xfId="0" applyFont="1" applyFill="1" applyAlignment="1"/>
    <xf numFmtId="169" fontId="7" fillId="0" borderId="0" xfId="0" applyNumberFormat="1" applyFont="1" applyAlignment="1">
      <alignment horizontal="left"/>
    </xf>
    <xf numFmtId="169" fontId="64" fillId="26" borderId="0" xfId="86" applyNumberFormat="1" applyFont="1" applyFill="1" applyAlignment="1">
      <alignment vertical="center"/>
    </xf>
    <xf numFmtId="169" fontId="64" fillId="26" borderId="0" xfId="86" applyNumberFormat="1" applyFont="1" applyFill="1" applyBorder="1" applyAlignment="1">
      <alignment vertical="center"/>
    </xf>
    <xf numFmtId="0" fontId="7" fillId="26" borderId="0" xfId="86" applyNumberFormat="1" applyFont="1" applyFill="1" applyAlignment="1" applyProtection="1">
      <protection locked="0"/>
    </xf>
    <xf numFmtId="170" fontId="7" fillId="0" borderId="17" xfId="0" applyNumberFormat="1" applyFont="1" applyFill="1" applyBorder="1"/>
    <xf numFmtId="170" fontId="54" fillId="0" borderId="18" xfId="0" applyNumberFormat="1" applyFont="1" applyFill="1" applyBorder="1"/>
    <xf numFmtId="170" fontId="7" fillId="0" borderId="13" xfId="0" applyNumberFormat="1" applyFont="1" applyFill="1" applyBorder="1"/>
    <xf numFmtId="170" fontId="54" fillId="0" borderId="0" xfId="0" applyNumberFormat="1" applyFont="1" applyFill="1" applyBorder="1"/>
    <xf numFmtId="169" fontId="80" fillId="26" borderId="0" xfId="0" applyNumberFormat="1" applyFont="1" applyFill="1" applyBorder="1"/>
    <xf numFmtId="169" fontId="80" fillId="26" borderId="25" xfId="86" applyNumberFormat="1" applyFont="1" applyFill="1" applyBorder="1"/>
    <xf numFmtId="169" fontId="80" fillId="26" borderId="25" xfId="0" applyNumberFormat="1" applyFont="1" applyFill="1" applyBorder="1"/>
    <xf numFmtId="169" fontId="80" fillId="26" borderId="24" xfId="0" applyNumberFormat="1" applyFont="1" applyFill="1" applyBorder="1"/>
    <xf numFmtId="170" fontId="80" fillId="26" borderId="25" xfId="0" applyNumberFormat="1" applyFont="1" applyFill="1" applyBorder="1"/>
    <xf numFmtId="169" fontId="7" fillId="0" borderId="26" xfId="86" applyNumberFormat="1" applyFont="1" applyBorder="1"/>
    <xf numFmtId="169" fontId="80" fillId="26" borderId="14" xfId="86" applyNumberFormat="1" applyFont="1" applyFill="1" applyBorder="1"/>
    <xf numFmtId="169" fontId="7" fillId="0" borderId="15" xfId="0" applyNumberFormat="1" applyFont="1" applyBorder="1"/>
    <xf numFmtId="169" fontId="80" fillId="26" borderId="24" xfId="86" applyNumberFormat="1" applyFont="1" applyFill="1" applyBorder="1"/>
    <xf numFmtId="169" fontId="80" fillId="26" borderId="14" xfId="86" applyNumberFormat="1" applyFont="1" applyFill="1" applyBorder="1" applyAlignment="1">
      <alignment horizontal="right"/>
    </xf>
    <xf numFmtId="169" fontId="7" fillId="0" borderId="25" xfId="87" applyNumberFormat="1" applyBorder="1"/>
    <xf numFmtId="169" fontId="7" fillId="0" borderId="25" xfId="87" applyNumberFormat="1" applyFont="1" applyFill="1" applyBorder="1"/>
    <xf numFmtId="169" fontId="7" fillId="0" borderId="14" xfId="87" applyNumberFormat="1" applyFont="1" applyFill="1" applyBorder="1"/>
    <xf numFmtId="169" fontId="7" fillId="0" borderId="26" xfId="87" applyNumberFormat="1" applyBorder="1"/>
    <xf numFmtId="169" fontId="7" fillId="0" borderId="26" xfId="87" applyNumberFormat="1" applyFont="1" applyFill="1" applyBorder="1"/>
    <xf numFmtId="169" fontId="7" fillId="0" borderId="16" xfId="87" applyNumberFormat="1" applyFont="1" applyFill="1" applyBorder="1"/>
    <xf numFmtId="170" fontId="78" fillId="0" borderId="14" xfId="0" applyNumberFormat="1" applyFont="1" applyFill="1" applyBorder="1"/>
    <xf numFmtId="0" fontId="81" fillId="0" borderId="0" xfId="191" applyNumberFormat="1" applyFont="1" applyFill="1" applyBorder="1" applyAlignment="1" applyProtection="1">
      <protection locked="0"/>
    </xf>
    <xf numFmtId="0" fontId="82" fillId="0" borderId="0" xfId="0" applyFont="1" applyAlignment="1">
      <alignment horizontal="left"/>
    </xf>
    <xf numFmtId="10" fontId="7" fillId="0" borderId="0" xfId="0" applyNumberFormat="1" applyFont="1" applyFill="1"/>
    <xf numFmtId="169" fontId="7" fillId="0" borderId="0" xfId="87" applyNumberFormat="1" applyFont="1" applyFill="1" applyBorder="1"/>
    <xf numFmtId="169" fontId="7" fillId="0" borderId="0" xfId="87" applyNumberFormat="1" applyFont="1" applyFill="1"/>
    <xf numFmtId="169" fontId="7" fillId="0" borderId="11" xfId="87" applyNumberFormat="1" applyFont="1" applyFill="1" applyBorder="1"/>
    <xf numFmtId="43" fontId="54" fillId="0" borderId="26" xfId="86" applyFont="1" applyBorder="1"/>
    <xf numFmtId="169" fontId="54" fillId="0" borderId="25" xfId="86" applyNumberFormat="1" applyFont="1" applyBorder="1"/>
    <xf numFmtId="169" fontId="54" fillId="0" borderId="26" xfId="86" applyNumberFormat="1" applyFont="1" applyBorder="1"/>
    <xf numFmtId="0" fontId="39" fillId="0" borderId="2" xfId="0" applyFont="1" applyBorder="1" applyAlignment="1">
      <alignment horizontal="center" vertical="center"/>
    </xf>
    <xf numFmtId="0" fontId="0" fillId="0" borderId="2" xfId="0" applyBorder="1" applyAlignment="1">
      <alignment horizontal="center" vertical="center"/>
    </xf>
    <xf numFmtId="169" fontId="1" fillId="0" borderId="2" xfId="86" applyNumberFormat="1" applyBorder="1" applyAlignment="1">
      <alignment vertical="center"/>
    </xf>
    <xf numFmtId="169" fontId="64" fillId="26" borderId="2" xfId="86" applyNumberFormat="1" applyFont="1" applyFill="1" applyBorder="1" applyAlignment="1">
      <alignment vertical="center"/>
    </xf>
    <xf numFmtId="0" fontId="7" fillId="0" borderId="42" xfId="0" applyNumberFormat="1" applyFont="1" applyBorder="1" applyAlignment="1">
      <alignment horizontal="center"/>
    </xf>
    <xf numFmtId="169" fontId="7" fillId="0" borderId="42" xfId="0" applyNumberFormat="1" applyFont="1" applyBorder="1"/>
    <xf numFmtId="169" fontId="1" fillId="0" borderId="42" xfId="86" applyNumberFormat="1" applyBorder="1"/>
    <xf numFmtId="169" fontId="7" fillId="0" borderId="42" xfId="86" applyNumberFormat="1" applyFont="1" applyBorder="1"/>
    <xf numFmtId="169" fontId="7" fillId="0" borderId="43" xfId="86" applyNumberFormat="1" applyFont="1" applyBorder="1"/>
    <xf numFmtId="170" fontId="7" fillId="0" borderId="43" xfId="0" applyNumberFormat="1" applyFont="1" applyBorder="1"/>
    <xf numFmtId="170" fontId="54" fillId="26" borderId="42" xfId="0" applyNumberFormat="1" applyFont="1" applyFill="1" applyBorder="1"/>
    <xf numFmtId="170" fontId="7" fillId="0" borderId="42" xfId="0" applyNumberFormat="1" applyFont="1" applyBorder="1"/>
    <xf numFmtId="0" fontId="7" fillId="0" borderId="2" xfId="0" applyFont="1" applyBorder="1"/>
    <xf numFmtId="169" fontId="7" fillId="0" borderId="42" xfId="0" applyNumberFormat="1" applyFont="1" applyFill="1" applyBorder="1"/>
    <xf numFmtId="164" fontId="7" fillId="0" borderId="2" xfId="191" applyNumberFormat="1" applyFont="1" applyBorder="1" applyAlignment="1" applyProtection="1">
      <alignment horizontal="left"/>
      <protection locked="0"/>
    </xf>
    <xf numFmtId="0" fontId="7" fillId="0" borderId="2" xfId="0" applyFont="1" applyBorder="1" applyAlignment="1">
      <alignment horizontal="center"/>
    </xf>
    <xf numFmtId="41" fontId="7" fillId="0" borderId="2" xfId="0" applyNumberFormat="1" applyFont="1" applyBorder="1"/>
    <xf numFmtId="164" fontId="7" fillId="0" borderId="2" xfId="191" applyNumberFormat="1" applyFont="1" applyFill="1" applyBorder="1" applyAlignment="1" applyProtection="1">
      <alignment horizontal="left"/>
      <protection locked="0"/>
    </xf>
    <xf numFmtId="0" fontId="7" fillId="0" borderId="2" xfId="0" applyFont="1" applyFill="1" applyBorder="1" applyAlignment="1">
      <alignment horizontal="center"/>
    </xf>
    <xf numFmtId="169" fontId="7" fillId="0" borderId="13" xfId="0" applyNumberFormat="1" applyFont="1" applyFill="1" applyBorder="1"/>
    <xf numFmtId="169" fontId="1" fillId="0" borderId="0" xfId="86" applyNumberFormat="1" applyBorder="1"/>
    <xf numFmtId="10" fontId="7" fillId="0" borderId="0" xfId="196" applyNumberFormat="1" applyFont="1" applyAlignment="1" applyProtection="1">
      <alignment horizontal="center"/>
      <protection locked="0"/>
    </xf>
    <xf numFmtId="10" fontId="7" fillId="0" borderId="0" xfId="196" applyNumberFormat="1" applyFont="1" applyFill="1" applyAlignment="1" applyProtection="1">
      <protection locked="0"/>
    </xf>
    <xf numFmtId="10" fontId="48" fillId="0" borderId="0" xfId="196" applyNumberFormat="1" applyFont="1" applyFill="1" applyAlignment="1" applyProtection="1">
      <protection locked="0"/>
    </xf>
    <xf numFmtId="10" fontId="7" fillId="0" borderId="0" xfId="196" applyNumberFormat="1" applyFont="1" applyAlignment="1" applyProtection="1">
      <alignment horizontal="right"/>
      <protection locked="0"/>
    </xf>
    <xf numFmtId="170" fontId="54" fillId="0" borderId="42" xfId="0" applyNumberFormat="1" applyFont="1" applyFill="1" applyBorder="1"/>
    <xf numFmtId="0" fontId="78" fillId="26" borderId="14" xfId="86" applyNumberFormat="1" applyFont="1" applyFill="1" applyBorder="1" applyAlignment="1">
      <alignment horizontal="right"/>
    </xf>
    <xf numFmtId="169" fontId="39" fillId="0" borderId="16" xfId="86" applyNumberFormat="1" applyFont="1" applyFill="1" applyBorder="1" applyAlignment="1">
      <alignment horizontal="center"/>
    </xf>
    <xf numFmtId="3" fontId="14" fillId="0" borderId="2" xfId="191" applyNumberFormat="1" applyFont="1" applyFill="1" applyBorder="1" applyAlignment="1" applyProtection="1">
      <protection locked="0"/>
    </xf>
    <xf numFmtId="41" fontId="7" fillId="0" borderId="2" xfId="191" applyNumberFormat="1" applyFont="1" applyFill="1" applyBorder="1" applyAlignment="1" applyProtection="1">
      <protection locked="0"/>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41" fontId="54" fillId="0" borderId="13" xfId="0" applyNumberFormat="1" applyFont="1" applyBorder="1"/>
    <xf numFmtId="10" fontId="54" fillId="0" borderId="13" xfId="0" applyNumberFormat="1" applyFont="1" applyBorder="1"/>
    <xf numFmtId="169" fontId="54" fillId="0" borderId="39" xfId="0" applyNumberFormat="1" applyFont="1" applyBorder="1"/>
    <xf numFmtId="169" fontId="54" fillId="0" borderId="45" xfId="0" applyNumberFormat="1" applyFont="1" applyBorder="1"/>
    <xf numFmtId="169" fontId="54" fillId="0" borderId="46" xfId="0" applyNumberFormat="1" applyFont="1" applyBorder="1"/>
    <xf numFmtId="10" fontId="7" fillId="0" borderId="0" xfId="191" applyNumberFormat="1" applyFont="1" applyFill="1" applyBorder="1" applyAlignment="1" applyProtection="1">
      <alignment horizontal="right"/>
      <protection locked="0"/>
    </xf>
    <xf numFmtId="0" fontId="54" fillId="0" borderId="14" xfId="0" applyFont="1" applyBorder="1"/>
    <xf numFmtId="0" fontId="54" fillId="0" borderId="16" xfId="0" applyFont="1" applyBorder="1"/>
    <xf numFmtId="0" fontId="83" fillId="0" borderId="47" xfId="0" applyFont="1" applyBorder="1"/>
    <xf numFmtId="0" fontId="0" fillId="0" borderId="48" xfId="0" quotePrefix="1" applyBorder="1" applyAlignment="1">
      <alignment horizontal="left"/>
    </xf>
    <xf numFmtId="0" fontId="83" fillId="0" borderId="14" xfId="0" applyFont="1" applyBorder="1"/>
    <xf numFmtId="0" fontId="83" fillId="0" borderId="49" xfId="0" applyFont="1" applyBorder="1"/>
    <xf numFmtId="3" fontId="54" fillId="0" borderId="43" xfId="0" applyNumberFormat="1" applyFont="1" applyBorder="1"/>
    <xf numFmtId="0" fontId="54" fillId="0" borderId="20" xfId="0" applyFont="1" applyBorder="1"/>
    <xf numFmtId="0" fontId="54" fillId="0" borderId="50" xfId="0" applyFont="1" applyBorder="1"/>
    <xf numFmtId="3" fontId="14" fillId="0" borderId="0" xfId="191" applyNumberFormat="1" applyFont="1" applyFill="1" applyBorder="1" applyAlignment="1" applyProtection="1">
      <alignment horizontal="center"/>
      <protection locked="0"/>
    </xf>
    <xf numFmtId="177" fontId="7" fillId="0" borderId="6" xfId="191" quotePrefix="1" applyNumberFormat="1" applyFont="1" applyBorder="1" applyAlignment="1" applyProtection="1">
      <alignment horizontal="center"/>
      <protection locked="0"/>
    </xf>
    <xf numFmtId="178" fontId="7" fillId="0" borderId="0" xfId="191" applyNumberFormat="1" applyFont="1" applyBorder="1" applyAlignment="1" applyProtection="1">
      <alignment horizontal="center"/>
      <protection locked="0"/>
    </xf>
    <xf numFmtId="0" fontId="54" fillId="26" borderId="20" xfId="0" applyFont="1" applyFill="1" applyBorder="1" applyAlignment="1">
      <alignment horizontal="right"/>
    </xf>
    <xf numFmtId="0" fontId="81" fillId="0" borderId="0" xfId="0" applyFont="1" applyAlignment="1">
      <alignment horizontal="left"/>
    </xf>
    <xf numFmtId="0" fontId="7" fillId="0" borderId="19" xfId="0" applyFont="1" applyFill="1" applyBorder="1"/>
    <xf numFmtId="0" fontId="7" fillId="0" borderId="14" xfId="0" applyFont="1" applyFill="1" applyBorder="1"/>
    <xf numFmtId="10" fontId="54" fillId="0" borderId="39" xfId="0" applyNumberFormat="1" applyFont="1" applyFill="1" applyBorder="1"/>
    <xf numFmtId="169" fontId="54" fillId="0" borderId="39" xfId="87" applyNumberFormat="1" applyFont="1" applyFill="1" applyBorder="1"/>
    <xf numFmtId="0" fontId="7" fillId="0" borderId="49" xfId="0" applyFont="1" applyFill="1" applyBorder="1"/>
    <xf numFmtId="166" fontId="54" fillId="0" borderId="39" xfId="0" applyNumberFormat="1" applyFont="1" applyFill="1" applyBorder="1"/>
    <xf numFmtId="0" fontId="7" fillId="0" borderId="47" xfId="0" applyFont="1" applyFill="1" applyBorder="1"/>
    <xf numFmtId="41" fontId="54" fillId="0" borderId="13" xfId="0" applyNumberFormat="1" applyFont="1" applyFill="1" applyBorder="1"/>
    <xf numFmtId="3" fontId="7" fillId="0" borderId="43" xfId="0" applyNumberFormat="1" applyFont="1" applyFill="1" applyBorder="1"/>
    <xf numFmtId="10" fontId="54" fillId="0" borderId="13" xfId="0" applyNumberFormat="1" applyFont="1" applyFill="1" applyBorder="1"/>
    <xf numFmtId="0" fontId="7" fillId="0" borderId="20" xfId="0" applyFont="1" applyFill="1" applyBorder="1"/>
    <xf numFmtId="169" fontId="54" fillId="0" borderId="44" xfId="0" applyNumberFormat="1" applyFont="1" applyFill="1" applyBorder="1"/>
    <xf numFmtId="169" fontId="54" fillId="0" borderId="46" xfId="0" applyNumberFormat="1" applyFont="1" applyFill="1" applyBorder="1"/>
    <xf numFmtId="0" fontId="7" fillId="0" borderId="16" xfId="0" applyFont="1" applyFill="1" applyBorder="1"/>
    <xf numFmtId="0" fontId="1" fillId="0" borderId="0" xfId="191" applyNumberFormat="1" applyFont="1" applyFill="1" applyBorder="1" applyAlignment="1" applyProtection="1">
      <protection locked="0"/>
    </xf>
    <xf numFmtId="41" fontId="1" fillId="0" borderId="0" xfId="191" applyNumberFormat="1" applyFont="1" applyFill="1" applyBorder="1" applyAlignment="1" applyProtection="1">
      <protection locked="0"/>
    </xf>
    <xf numFmtId="10" fontId="1" fillId="0" borderId="0" xfId="0" applyNumberFormat="1" applyFont="1" applyFill="1"/>
    <xf numFmtId="169" fontId="54" fillId="0" borderId="39" xfId="86" applyNumberFormat="1" applyFont="1" applyFill="1" applyBorder="1"/>
    <xf numFmtId="179" fontId="54" fillId="0" borderId="39" xfId="196" applyNumberFormat="1" applyFont="1" applyFill="1" applyBorder="1"/>
    <xf numFmtId="41" fontId="54" fillId="0" borderId="39" xfId="0" applyNumberFormat="1" applyFont="1" applyFill="1" applyBorder="1"/>
    <xf numFmtId="43" fontId="0" fillId="0" borderId="0" xfId="86" applyFont="1"/>
    <xf numFmtId="169" fontId="1" fillId="0" borderId="6" xfId="191" applyNumberFormat="1" applyFont="1" applyFill="1" applyBorder="1" applyAlignment="1" applyProtection="1">
      <alignment horizontal="center"/>
      <protection locked="0"/>
    </xf>
    <xf numFmtId="169" fontId="7" fillId="0" borderId="0" xfId="191" applyNumberFormat="1" applyFont="1" applyBorder="1" applyAlignment="1" applyProtection="1">
      <alignment horizontal="center"/>
      <protection locked="0"/>
    </xf>
    <xf numFmtId="43" fontId="0" fillId="0" borderId="0" xfId="196" applyNumberFormat="1" applyFont="1"/>
    <xf numFmtId="0" fontId="0" fillId="0" borderId="0" xfId="0" quotePrefix="1" applyAlignment="1">
      <alignment horizontal="center"/>
    </xf>
    <xf numFmtId="169" fontId="101" fillId="0" borderId="0" xfId="86" applyNumberFormat="1" applyFont="1" applyFill="1" applyAlignment="1">
      <alignment vertical="center"/>
    </xf>
    <xf numFmtId="43" fontId="7" fillId="0" borderId="0" xfId="191" applyNumberFormat="1" applyFont="1" applyBorder="1" applyAlignment="1" applyProtection="1">
      <protection locked="0"/>
    </xf>
    <xf numFmtId="43" fontId="0" fillId="0" borderId="0" xfId="0" applyNumberFormat="1"/>
    <xf numFmtId="0" fontId="39" fillId="0" borderId="11" xfId="0" applyFont="1" applyBorder="1" applyAlignment="1">
      <alignment horizontal="center"/>
    </xf>
    <xf numFmtId="0" fontId="65" fillId="0" borderId="0" xfId="0" applyFont="1" applyFill="1" applyBorder="1" applyAlignment="1">
      <alignment horizontal="center" wrapText="1"/>
    </xf>
    <xf numFmtId="0" fontId="0" fillId="0" borderId="0" xfId="0" applyAlignment="1">
      <alignment horizontal="left" vertical="top" wrapText="1"/>
    </xf>
    <xf numFmtId="168" fontId="7" fillId="0" borderId="17" xfId="191" applyFont="1" applyBorder="1" applyAlignment="1" applyProtection="1">
      <alignment wrapText="1"/>
      <protection locked="0"/>
    </xf>
    <xf numFmtId="0" fontId="7" fillId="0" borderId="18" xfId="0" applyFont="1" applyBorder="1" applyAlignment="1">
      <alignment wrapText="1"/>
    </xf>
    <xf numFmtId="0" fontId="7" fillId="0" borderId="19" xfId="0" applyFont="1" applyBorder="1" applyAlignment="1">
      <alignment wrapText="1"/>
    </xf>
    <xf numFmtId="0" fontId="7" fillId="0" borderId="13" xfId="0" applyFont="1" applyBorder="1" applyAlignment="1">
      <alignment wrapText="1"/>
    </xf>
    <xf numFmtId="0" fontId="7" fillId="0" borderId="0" xfId="0" applyFont="1" applyBorder="1" applyAlignment="1">
      <alignment wrapText="1"/>
    </xf>
    <xf numFmtId="0" fontId="7" fillId="0" borderId="14" xfId="0" applyFont="1" applyBorder="1" applyAlignment="1">
      <alignment wrapText="1"/>
    </xf>
    <xf numFmtId="0" fontId="6" fillId="0" borderId="0" xfId="0" applyFont="1" applyFill="1" applyAlignment="1">
      <alignment wrapText="1"/>
    </xf>
    <xf numFmtId="0" fontId="0" fillId="0" borderId="0" xfId="0" applyAlignment="1">
      <alignment wrapText="1"/>
    </xf>
    <xf numFmtId="0" fontId="7" fillId="0" borderId="0" xfId="0" applyFont="1" applyFill="1" applyBorder="1" applyAlignment="1">
      <alignment wrapText="1"/>
    </xf>
    <xf numFmtId="49" fontId="46" fillId="0" borderId="0" xfId="0" applyNumberFormat="1" applyFont="1" applyAlignment="1">
      <alignment horizontal="center"/>
    </xf>
    <xf numFmtId="0" fontId="46" fillId="0" borderId="0" xfId="0" applyFont="1" applyAlignment="1">
      <alignment horizontal="center"/>
    </xf>
    <xf numFmtId="0" fontId="6" fillId="0" borderId="0" xfId="178" quotePrefix="1" applyFont="1" applyBorder="1" applyAlignment="1">
      <alignment horizontal="center"/>
    </xf>
    <xf numFmtId="0" fontId="46" fillId="0" borderId="0" xfId="178" applyFont="1" applyBorder="1" applyAlignment="1">
      <alignment horizontal="center"/>
    </xf>
    <xf numFmtId="3" fontId="6" fillId="0" borderId="0" xfId="0" applyNumberFormat="1" applyFont="1" applyAlignment="1">
      <alignment horizontal="center"/>
    </xf>
    <xf numFmtId="0" fontId="46" fillId="0" borderId="0" xfId="0" applyNumberFormat="1" applyFont="1" applyAlignment="1">
      <alignment horizontal="center"/>
    </xf>
    <xf numFmtId="49" fontId="6" fillId="0" borderId="0" xfId="0" applyNumberFormat="1" applyFont="1" applyAlignment="1">
      <alignment horizontal="center"/>
    </xf>
    <xf numFmtId="0" fontId="6" fillId="0" borderId="0" xfId="0" applyNumberFormat="1" applyFont="1" applyAlignment="1">
      <alignment horizontal="center"/>
    </xf>
  </cellXfs>
  <cellStyles count="26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0" xfId="263"/>
    <cellStyle name="Comma 2" xfId="87"/>
    <cellStyle name="Comma 2 2" xfId="88"/>
    <cellStyle name="Comma 3" xfId="89"/>
    <cellStyle name="Comma 3 2" xfId="90"/>
    <cellStyle name="Comma 3 3" xfId="91"/>
    <cellStyle name="Comma 3 3 2" xfId="92"/>
    <cellStyle name="Comma 3 4" xfId="93"/>
    <cellStyle name="Comma 3 5" xfId="94"/>
    <cellStyle name="Comma 4" xfId="95"/>
    <cellStyle name="Comma 4 2" xfId="96"/>
    <cellStyle name="Comma 4 3" xfId="97"/>
    <cellStyle name="Comma 5" xfId="98"/>
    <cellStyle name="Comma 5 2" xfId="99"/>
    <cellStyle name="Comma 6" xfId="100"/>
    <cellStyle name="Comma 7" xfId="101"/>
    <cellStyle name="Comma0" xfId="102"/>
    <cellStyle name="Comma0 2" xfId="103"/>
    <cellStyle name="Comma0 2 2" xfId="104"/>
    <cellStyle name="Comma0 3" xfId="105"/>
    <cellStyle name="Currency" xfId="106" builtinId="4"/>
    <cellStyle name="Currency 2" xfId="107"/>
    <cellStyle name="Currency 2 2" xfId="108"/>
    <cellStyle name="Currency 2 2 2" xfId="109"/>
    <cellStyle name="Currency 3" xfId="110"/>
    <cellStyle name="Currency 3 2" xfId="111"/>
    <cellStyle name="Currency 3 3" xfId="112"/>
    <cellStyle name="Currency 3 3 2" xfId="113"/>
    <cellStyle name="Currency 3 4" xfId="114"/>
    <cellStyle name="Currency 3 5" xfId="115"/>
    <cellStyle name="Currency 4" xfId="116"/>
    <cellStyle name="Currency 4 2" xfId="117"/>
    <cellStyle name="Currency 4 2 2" xfId="118"/>
    <cellStyle name="Currency 5" xfId="119"/>
    <cellStyle name="Currency 5 2" xfId="120"/>
    <cellStyle name="Currency 6" xfId="121"/>
    <cellStyle name="Currency 6 2" xfId="122"/>
    <cellStyle name="Currency 6 3" xfId="123"/>
    <cellStyle name="Currency 6 4" xfId="124"/>
    <cellStyle name="Currency0" xfId="125"/>
    <cellStyle name="Currency0 2" xfId="126"/>
    <cellStyle name="Currency0 2 2" xfId="127"/>
    <cellStyle name="Currency0 3" xfId="128"/>
    <cellStyle name="Date" xfId="129"/>
    <cellStyle name="Date 2" xfId="130"/>
    <cellStyle name="Date 2 2" xfId="131"/>
    <cellStyle name="Date 3" xfId="132"/>
    <cellStyle name="Explanatory Text" xfId="133" builtinId="53" customBuiltin="1"/>
    <cellStyle name="Explanatory Text 2" xfId="134"/>
    <cellStyle name="Fixed" xfId="135"/>
    <cellStyle name="Fixed 2" xfId="136"/>
    <cellStyle name="Fixed 2 2" xfId="137"/>
    <cellStyle name="Fixed 3" xfId="138"/>
    <cellStyle name="Good" xfId="139" builtinId="26" customBuiltin="1"/>
    <cellStyle name="Good 2" xfId="140"/>
    <cellStyle name="Heading 1" xfId="141" builtinId="16" customBuiltin="1"/>
    <cellStyle name="Heading 1 2" xfId="142"/>
    <cellStyle name="Heading 1 3" xfId="143"/>
    <cellStyle name="Heading 1 3 2" xfId="144"/>
    <cellStyle name="Heading 2" xfId="145" builtinId="17" customBuiltin="1"/>
    <cellStyle name="Heading 2 2" xfId="146"/>
    <cellStyle name="Heading 2 3" xfId="147"/>
    <cellStyle name="Heading 2 3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M" xfId="159"/>
    <cellStyle name="M 2" xfId="160"/>
    <cellStyle name="M 2 2" xfId="161"/>
    <cellStyle name="M 2 2 2" xfId="162"/>
    <cellStyle name="M 3" xfId="163"/>
    <cellStyle name="M 3 2" xfId="164"/>
    <cellStyle name="M 3 2 2" xfId="165"/>
    <cellStyle name="M 4" xfId="166"/>
    <cellStyle name="M 5" xfId="167"/>
    <cellStyle name="M 5 2" xfId="168"/>
    <cellStyle name="M 6" xfId="169"/>
    <cellStyle name="M 6 2" xfId="170"/>
    <cellStyle name="M 7" xfId="171"/>
    <cellStyle name="Neutral" xfId="172" builtinId="28" customBuiltin="1"/>
    <cellStyle name="Neutral 2" xfId="173"/>
    <cellStyle name="Normal" xfId="0" builtinId="0"/>
    <cellStyle name="Normal 12" xfId="174"/>
    <cellStyle name="Normal 2" xfId="175"/>
    <cellStyle name="Normal 2 2" xfId="176"/>
    <cellStyle name="Normal 3" xfId="177"/>
    <cellStyle name="Normal 3 2" xfId="178"/>
    <cellStyle name="Normal 3 3" xfId="179"/>
    <cellStyle name="Normal 3_OPCo Period I PJM  Formula Rate" xfId="180"/>
    <cellStyle name="Normal 4" xfId="181"/>
    <cellStyle name="Normal 4 2" xfId="182"/>
    <cellStyle name="Normal 4 3" xfId="183"/>
    <cellStyle name="Normal 4 3 2" xfId="184"/>
    <cellStyle name="Normal 4 4" xfId="185"/>
    <cellStyle name="Normal 4 5" xfId="186"/>
    <cellStyle name="Normal 4 5 2" xfId="187"/>
    <cellStyle name="Normal 4 5 3" xfId="188"/>
    <cellStyle name="Normal 4_PBOP Exhibit 1" xfId="189"/>
    <cellStyle name="Normal 5" xfId="190"/>
    <cellStyle name="Normal_FN1 Ratebase Draft SPP template (6-11-04) v2" xfId="191"/>
    <cellStyle name="Note" xfId="192" builtinId="10" customBuiltin="1"/>
    <cellStyle name="Note 2" xfId="193"/>
    <cellStyle name="Output" xfId="194" builtinId="21" customBuiltin="1"/>
    <cellStyle name="Output 2" xfId="195"/>
    <cellStyle name="Percent" xfId="196" builtinId="5"/>
    <cellStyle name="Percent 2" xfId="197"/>
    <cellStyle name="Percent 2 2" xfId="198"/>
    <cellStyle name="Percent 2 2 2" xfId="199"/>
    <cellStyle name="Percent 3" xfId="200"/>
    <cellStyle name="Percent 3 2" xfId="201"/>
    <cellStyle name="Percent 3 3" xfId="202"/>
    <cellStyle name="Percent 3 3 2" xfId="203"/>
    <cellStyle name="Percent 3 4" xfId="204"/>
    <cellStyle name="Percent 3 5" xfId="205"/>
    <cellStyle name="Percent 4" xfId="206"/>
    <cellStyle name="Percent 4 2" xfId="207"/>
    <cellStyle name="Percent 4 3" xfId="208"/>
    <cellStyle name="Percent 5" xfId="209"/>
    <cellStyle name="Percent 5 2" xfId="210"/>
    <cellStyle name="Percent 5 3" xfId="211"/>
    <cellStyle name="Percent 6" xfId="212"/>
    <cellStyle name="Percent 7" xfId="213"/>
    <cellStyle name="PSChar" xfId="214"/>
    <cellStyle name="PSChar 2" xfId="215"/>
    <cellStyle name="PSChar 2 2" xfId="216"/>
    <cellStyle name="PSDate" xfId="217"/>
    <cellStyle name="PSDec" xfId="218"/>
    <cellStyle name="PSdesc" xfId="219"/>
    <cellStyle name="PSHeading" xfId="220"/>
    <cellStyle name="PSInt" xfId="221"/>
    <cellStyle name="PSSpacer" xfId="222"/>
    <cellStyle name="PStest" xfId="223"/>
    <cellStyle name="R00A" xfId="224"/>
    <cellStyle name="R00B" xfId="225"/>
    <cellStyle name="R00L" xfId="226"/>
    <cellStyle name="R01A" xfId="227"/>
    <cellStyle name="R01B" xfId="228"/>
    <cellStyle name="R01H" xfId="229"/>
    <cellStyle name="R01L" xfId="230"/>
    <cellStyle name="R02A" xfId="231"/>
    <cellStyle name="R02B" xfId="232"/>
    <cellStyle name="R02H" xfId="233"/>
    <cellStyle name="R02L" xfId="234"/>
    <cellStyle name="R03A" xfId="235"/>
    <cellStyle name="R03B" xfId="236"/>
    <cellStyle name="R03H" xfId="237"/>
    <cellStyle name="R03L" xfId="238"/>
    <cellStyle name="R04A" xfId="239"/>
    <cellStyle name="R04B" xfId="240"/>
    <cellStyle name="R04H" xfId="241"/>
    <cellStyle name="R04L" xfId="242"/>
    <cellStyle name="R05A" xfId="243"/>
    <cellStyle name="R05B" xfId="244"/>
    <cellStyle name="R05H" xfId="245"/>
    <cellStyle name="R05L" xfId="246"/>
    <cellStyle name="R06A" xfId="247"/>
    <cellStyle name="R06B" xfId="248"/>
    <cellStyle name="R06H" xfId="249"/>
    <cellStyle name="R06L" xfId="250"/>
    <cellStyle name="R07A" xfId="251"/>
    <cellStyle name="R07B" xfId="252"/>
    <cellStyle name="R07H" xfId="253"/>
    <cellStyle name="R07L" xfId="254"/>
    <cellStyle name="Title" xfId="255" builtinId="15" customBuiltin="1"/>
    <cellStyle name="Title 2" xfId="256"/>
    <cellStyle name="Total" xfId="257" builtinId="25" customBuiltin="1"/>
    <cellStyle name="Total 2" xfId="258"/>
    <cellStyle name="Total 3" xfId="259"/>
    <cellStyle name="Total 3 2" xfId="260"/>
    <cellStyle name="Warning Text" xfId="261" builtinId="11" customBuiltin="1"/>
    <cellStyle name="Warning Text 2" xfId="262"/>
  </cellStyles>
  <dxfs count="49">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293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396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523875</xdr:colOff>
      <xdr:row>0</xdr:row>
      <xdr:rowOff>219075</xdr:rowOff>
    </xdr:to>
    <xdr:sp macro="" textlink="">
      <xdr:nvSpPr>
        <xdr:cNvPr id="2597" name="Text Box 1"/>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3568"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585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8929"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98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092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74"/>
  <sheetViews>
    <sheetView tabSelected="1" topLeftCell="A10" zoomScale="70" zoomScaleNormal="70" zoomScaleSheetLayoutView="80" workbookViewId="0">
      <selection activeCell="R17" sqref="R17"/>
    </sheetView>
  </sheetViews>
  <sheetFormatPr defaultRowHeight="12.75" customHeight="1"/>
  <cols>
    <col min="1" max="1" width="9.85546875" customWidth="1"/>
    <col min="2" max="2" width="7" bestFit="1" customWidth="1"/>
    <col min="3" max="3" width="43.140625" customWidth="1"/>
    <col min="4" max="4" width="9" customWidth="1"/>
    <col min="5" max="5" width="15.7109375" customWidth="1"/>
    <col min="6" max="6" width="13.85546875" customWidth="1"/>
    <col min="7" max="7" width="14.28515625" customWidth="1"/>
    <col min="8" max="8" width="2.85546875" customWidth="1"/>
    <col min="9" max="9" width="13.7109375" customWidth="1"/>
    <col min="10" max="10" width="13.28515625" customWidth="1"/>
    <col min="11" max="11" width="13.85546875" bestFit="1" customWidth="1"/>
    <col min="12" max="12" width="16.42578125" customWidth="1"/>
    <col min="13" max="13" width="2.42578125" customWidth="1"/>
    <col min="14" max="14" width="6.140625" customWidth="1"/>
    <col min="15" max="15" width="7.7109375" customWidth="1"/>
    <col min="16" max="16" width="10.7109375" customWidth="1"/>
    <col min="17" max="17" width="11.140625" bestFit="1" customWidth="1"/>
    <col min="18" max="18" width="18.7109375" customWidth="1"/>
    <col min="19" max="19" width="2.42578125" customWidth="1"/>
    <col min="20" max="20" width="14.28515625" customWidth="1"/>
    <col min="22" max="22" width="18" customWidth="1"/>
  </cols>
  <sheetData>
    <row r="1" spans="1:23" ht="15">
      <c r="H1" s="260" t="s">
        <v>136</v>
      </c>
      <c r="U1">
        <v>2019</v>
      </c>
    </row>
    <row r="2" spans="1:23" ht="15">
      <c r="H2" s="288" t="s">
        <v>159</v>
      </c>
    </row>
    <row r="3" spans="1:23" ht="15">
      <c r="H3" s="261" t="str">
        <f>"For Calendar Year "&amp;U1-1&amp;" and Projected Year "&amp;U1</f>
        <v>For Calendar Year 2018 and Projected Year 2019</v>
      </c>
    </row>
    <row r="4" spans="1:23" ht="15">
      <c r="H4" s="262"/>
    </row>
    <row r="5" spans="1:23" ht="15.75">
      <c r="H5" s="263" t="s">
        <v>137</v>
      </c>
    </row>
    <row r="7" spans="1:23" ht="18">
      <c r="C7" s="259"/>
      <c r="E7" s="259"/>
      <c r="F7" s="259"/>
      <c r="G7" s="259"/>
      <c r="H7" s="259" t="s">
        <v>188</v>
      </c>
      <c r="I7" s="259"/>
      <c r="J7" s="259"/>
      <c r="K7" s="259"/>
      <c r="L7" s="259"/>
    </row>
    <row r="8" spans="1:23">
      <c r="D8" s="104"/>
    </row>
    <row r="9" spans="1:23">
      <c r="A9"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276" t="s">
        <v>138</v>
      </c>
      <c r="B12" s="276" t="s">
        <v>139</v>
      </c>
      <c r="C12" s="334" t="s">
        <v>140</v>
      </c>
      <c r="D12" s="276" t="s">
        <v>141</v>
      </c>
      <c r="E12" s="276" t="s">
        <v>142</v>
      </c>
      <c r="F12" s="276" t="s">
        <v>143</v>
      </c>
      <c r="G12" s="276" t="str">
        <f>"(G) = "&amp;E12&amp;" + "&amp;F12</f>
        <v>(G) = (E) + (F)</v>
      </c>
      <c r="H12" s="276"/>
      <c r="I12" s="276" t="s">
        <v>144</v>
      </c>
      <c r="J12" s="276" t="s">
        <v>145</v>
      </c>
      <c r="K12" s="335" t="s">
        <v>167</v>
      </c>
      <c r="L12" s="276" t="str">
        <f>"(K) = "&amp;J12&amp;" - "&amp;K12</f>
        <v>(K) = (I) - (J)</v>
      </c>
      <c r="M12" s="276"/>
      <c r="N12" s="276" t="s">
        <v>168</v>
      </c>
      <c r="O12" s="276" t="s">
        <v>146</v>
      </c>
      <c r="P12" s="276" t="str">
        <f>"(N) = "&amp;N12&amp;"-"&amp;O12</f>
        <v>(N) = (L)-(M)</v>
      </c>
      <c r="Q12" s="276" t="s">
        <v>169</v>
      </c>
      <c r="R12" s="276" t="str">
        <f>"(P) = "&amp;I12&amp;"+"&amp;LEFT(L12,3)&amp;"+"&amp;LEFT(P12,3)&amp;"+"&amp;Q12</f>
        <v>(P) = (H)+(K)+(N)+(O)</v>
      </c>
      <c r="S12" s="276"/>
      <c r="T12" s="276" t="str">
        <f>"(Q) = "&amp;LEFT(G12,3)&amp;" + "&amp;LEFT(R12,3)</f>
        <v>(Q) = (G) + (P)</v>
      </c>
      <c r="U12" s="276"/>
      <c r="V12" s="277"/>
      <c r="W12" s="277"/>
    </row>
    <row r="13" spans="1:23" ht="16.5" customHeight="1">
      <c r="A13" s="9"/>
      <c r="B13" s="9"/>
      <c r="C13" s="9"/>
      <c r="D13" s="9"/>
      <c r="E13" s="498" t="str">
        <f>"Projected ARR For "&amp;U1&amp;" From WS-F"</f>
        <v>Projected ARR For 2019 From WS-F</v>
      </c>
      <c r="F13" s="498"/>
      <c r="G13" s="498"/>
      <c r="H13" s="9"/>
      <c r="I13" s="272" t="str">
        <f>"True-Up ARR CY"&amp;U1-1&amp;" From Worksheet G  (includes adjustment for SPP Collections)"</f>
        <v>True-Up ARR CY2018 From Worksheet G  (includes adjustment for SPP Collections)</v>
      </c>
      <c r="J13" s="272"/>
      <c r="K13" s="272"/>
      <c r="L13" s="272"/>
      <c r="M13" s="272"/>
      <c r="N13" s="272"/>
      <c r="O13" s="272"/>
      <c r="P13" s="272"/>
      <c r="Q13" s="272"/>
      <c r="R13" s="311"/>
      <c r="S13" s="9"/>
      <c r="T13" s="9"/>
      <c r="U13" s="9"/>
    </row>
    <row r="14" spans="1:23" ht="18" customHeight="1">
      <c r="G14" s="331"/>
      <c r="T14" s="499" t="str">
        <f>"Total ADJUSTED Revenue Requirement Effective
7/1/"&amp;U1&amp;""</f>
        <v>Total ADJUSTED Revenue Requirement Effective
7/1/2019</v>
      </c>
    </row>
    <row r="15" spans="1:23" ht="18" customHeight="1" thickBot="1">
      <c r="D15" s="9"/>
      <c r="E15" s="264"/>
      <c r="F15" s="264"/>
      <c r="G15" s="264"/>
      <c r="I15" s="272" t="s">
        <v>147</v>
      </c>
      <c r="J15" s="310"/>
      <c r="K15" s="310"/>
      <c r="L15" s="310"/>
      <c r="M15" s="271"/>
      <c r="N15" s="272" t="s">
        <v>166</v>
      </c>
      <c r="O15" s="309"/>
      <c r="P15" s="309"/>
      <c r="Q15" s="273"/>
      <c r="T15" s="499"/>
    </row>
    <row r="16" spans="1:23" ht="72.75" customHeight="1">
      <c r="A16" s="274" t="s">
        <v>156</v>
      </c>
      <c r="B16" s="265" t="s">
        <v>148</v>
      </c>
      <c r="C16" s="265" t="s">
        <v>116</v>
      </c>
      <c r="D16" s="275" t="s">
        <v>149</v>
      </c>
      <c r="E16" s="305" t="s">
        <v>164</v>
      </c>
      <c r="F16" s="266" t="s">
        <v>150</v>
      </c>
      <c r="G16" s="266" t="s">
        <v>151</v>
      </c>
      <c r="I16" s="270" t="s">
        <v>163</v>
      </c>
      <c r="J16" s="303" t="s">
        <v>268</v>
      </c>
      <c r="K16" s="270" t="s">
        <v>179</v>
      </c>
      <c r="L16" s="270" t="s">
        <v>165</v>
      </c>
      <c r="M16" s="270"/>
      <c r="N16" s="303" t="s">
        <v>152</v>
      </c>
      <c r="O16" s="303" t="s">
        <v>153</v>
      </c>
      <c r="P16" s="267" t="s">
        <v>154</v>
      </c>
      <c r="Q16" s="267" t="s">
        <v>155</v>
      </c>
      <c r="R16" s="305" t="s">
        <v>181</v>
      </c>
      <c r="T16" s="499"/>
      <c r="V16" s="365" t="s">
        <v>170</v>
      </c>
    </row>
    <row r="17" spans="1:23">
      <c r="B17" s="9"/>
      <c r="C17" s="9"/>
      <c r="E17" s="48"/>
      <c r="F17" s="48"/>
      <c r="G17" s="48"/>
      <c r="I17" s="48"/>
      <c r="J17" s="48"/>
      <c r="K17" s="48"/>
      <c r="L17" s="48"/>
      <c r="M17" s="48"/>
      <c r="N17" s="48"/>
      <c r="O17" s="48"/>
      <c r="P17" s="48"/>
      <c r="Q17" s="48"/>
      <c r="R17" s="48"/>
      <c r="T17" s="48"/>
      <c r="V17" s="312"/>
    </row>
    <row r="18" spans="1:23">
      <c r="A18" s="335" t="s">
        <v>194</v>
      </c>
      <c r="B18" s="276" t="s">
        <v>182</v>
      </c>
      <c r="C18" s="286" t="str">
        <f t="shared" ref="C18:F36" ca="1" si="0">INDIRECT("'"&amp; $A18 &amp; "'!" &amp;C$45)</f>
        <v>Snyder 138 kV Terminal Addition</v>
      </c>
      <c r="D18" s="278">
        <f t="shared" ca="1" si="0"/>
        <v>2010</v>
      </c>
      <c r="E18" s="306">
        <v>0</v>
      </c>
      <c r="F18" s="307">
        <f t="shared" ca="1" si="0"/>
        <v>0</v>
      </c>
      <c r="G18" s="307">
        <f t="shared" ref="G18:G23" ca="1" si="1">+E18+F18</f>
        <v>0</v>
      </c>
      <c r="H18" s="308"/>
      <c r="I18" s="495">
        <f t="shared" ref="I18:I36" ca="1" si="2">INDIRECT("'"&amp; $A18 &amp; "'!" &amp;I$45)</f>
        <v>-5957.1525369418378</v>
      </c>
      <c r="J18" s="385">
        <v>94773.264449409719</v>
      </c>
      <c r="K18" s="385">
        <f>J18/(J$38)*K$38</f>
        <v>101046.37159172655</v>
      </c>
      <c r="L18" s="306">
        <f t="shared" ref="L18:L23" si="3">+J18-K18</f>
        <v>-6273.1071423168323</v>
      </c>
      <c r="M18" s="306"/>
      <c r="N18" s="307">
        <v>0</v>
      </c>
      <c r="O18" s="307">
        <v>0</v>
      </c>
      <c r="P18" s="307"/>
      <c r="Q18" s="385">
        <f ca="1">+V18/$V$38 * $Q$38</f>
        <v>-1336.5870617622143</v>
      </c>
      <c r="R18" s="279">
        <f ca="1">I18+L18+P18+Q18</f>
        <v>-13566.846741020885</v>
      </c>
      <c r="S18" s="279"/>
      <c r="T18" s="280">
        <f t="shared" ref="T18:T23" ca="1" si="4">+G18+R18</f>
        <v>-13566.846741020885</v>
      </c>
      <c r="V18" s="313">
        <f t="shared" ref="V18:V23" ca="1" si="5">+I18+L18+P18</f>
        <v>-12230.25967925867</v>
      </c>
      <c r="W18" t="str">
        <f t="shared" ref="W18:W23" si="6">A18</f>
        <v>OKT.001</v>
      </c>
    </row>
    <row r="19" spans="1:23" ht="25.5">
      <c r="A19" s="335" t="s">
        <v>195</v>
      </c>
      <c r="B19" s="276" t="s">
        <v>182</v>
      </c>
      <c r="C19" s="286" t="str">
        <f t="shared" ca="1" si="0"/>
        <v>Coffeyville T to Dearing 138 kV Rebuild - 1.1 miles</v>
      </c>
      <c r="D19" s="278">
        <f t="shared" ca="1" si="0"/>
        <v>2010</v>
      </c>
      <c r="E19" s="306">
        <v>0</v>
      </c>
      <c r="F19" s="307">
        <f t="shared" ca="1" si="0"/>
        <v>0</v>
      </c>
      <c r="G19" s="307">
        <f t="shared" ca="1" si="1"/>
        <v>0</v>
      </c>
      <c r="H19" s="308"/>
      <c r="I19" s="495">
        <f t="shared" ca="1" si="2"/>
        <v>-7746.8995321107068</v>
      </c>
      <c r="J19" s="385">
        <v>127856.61104813675</v>
      </c>
      <c r="K19" s="385">
        <f>J19/(J$38)*K$38</f>
        <v>136319.52751110861</v>
      </c>
      <c r="L19" s="306">
        <f t="shared" si="3"/>
        <v>-8462.916462971858</v>
      </c>
      <c r="M19" s="306"/>
      <c r="N19" s="307">
        <v>0</v>
      </c>
      <c r="O19" s="307">
        <v>0</v>
      </c>
      <c r="P19" s="307"/>
      <c r="Q19" s="385">
        <f t="shared" ref="Q19:Q35" ca="1" si="7">+V19/$V$38 * $Q$38</f>
        <v>-1771.4938930787125</v>
      </c>
      <c r="R19" s="279">
        <f t="shared" ref="R19:R23" ca="1" si="8">I19+L19+P19+Q19</f>
        <v>-17981.309888161279</v>
      </c>
      <c r="S19" s="279"/>
      <c r="T19" s="281">
        <f t="shared" ca="1" si="4"/>
        <v>-17981.309888161279</v>
      </c>
      <c r="V19" s="313">
        <f t="shared" ca="1" si="5"/>
        <v>-16209.815995082565</v>
      </c>
      <c r="W19" t="str">
        <f t="shared" si="6"/>
        <v>OKT.002</v>
      </c>
    </row>
    <row r="20" spans="1:23">
      <c r="A20" s="335" t="s">
        <v>202</v>
      </c>
      <c r="B20" s="276" t="s">
        <v>182</v>
      </c>
      <c r="C20" s="286" t="str">
        <f t="shared" ca="1" si="0"/>
        <v>Tulsa Power Station Reactor</v>
      </c>
      <c r="D20" s="278">
        <f t="shared" ca="1" si="0"/>
        <v>2011</v>
      </c>
      <c r="E20" s="306">
        <v>0</v>
      </c>
      <c r="F20" s="307">
        <f t="shared" ca="1" si="0"/>
        <v>0</v>
      </c>
      <c r="G20" s="307">
        <f t="shared" ca="1" si="1"/>
        <v>0</v>
      </c>
      <c r="H20" s="308"/>
      <c r="I20" s="495">
        <f t="shared" ca="1" si="2"/>
        <v>-5057.9923102130706</v>
      </c>
      <c r="J20" s="385">
        <v>81480.661026957561</v>
      </c>
      <c r="K20" s="385">
        <f>J20/(J$38)*K$38</f>
        <v>86873.92166452641</v>
      </c>
      <c r="L20" s="306">
        <f t="shared" si="3"/>
        <v>-5393.2606375688483</v>
      </c>
      <c r="M20" s="306"/>
      <c r="N20" s="307">
        <v>0</v>
      </c>
      <c r="O20" s="307">
        <v>0</v>
      </c>
      <c r="P20" s="307"/>
      <c r="Q20" s="385">
        <f t="shared" ca="1" si="7"/>
        <v>-1142.1678554298887</v>
      </c>
      <c r="R20" s="279">
        <f t="shared" ca="1" si="8"/>
        <v>-11593.420803211808</v>
      </c>
      <c r="S20" s="279"/>
      <c r="T20" s="281">
        <f t="shared" ca="1" si="4"/>
        <v>-11593.420803211808</v>
      </c>
      <c r="V20" s="313">
        <f t="shared" ca="1" si="5"/>
        <v>-10451.252947781919</v>
      </c>
      <c r="W20" t="str">
        <f t="shared" si="6"/>
        <v>OKT.003</v>
      </c>
    </row>
    <row r="21" spans="1:23">
      <c r="A21" s="335" t="s">
        <v>203</v>
      </c>
      <c r="B21" s="276" t="s">
        <v>182</v>
      </c>
      <c r="C21" s="286" t="str">
        <f t="shared" ca="1" si="0"/>
        <v xml:space="preserve">Bartlesville SE to Coffeyville T Rebuild </v>
      </c>
      <c r="D21" s="278">
        <f t="shared" ca="1" si="0"/>
        <v>2011</v>
      </c>
      <c r="E21" s="306">
        <v>0</v>
      </c>
      <c r="F21" s="307">
        <f t="shared" ca="1" si="0"/>
        <v>0</v>
      </c>
      <c r="G21" s="307">
        <f t="shared" ca="1" si="1"/>
        <v>0</v>
      </c>
      <c r="H21" s="308"/>
      <c r="I21" s="495">
        <f t="shared" ca="1" si="2"/>
        <v>-96947.410275042756</v>
      </c>
      <c r="J21" s="385">
        <v>1451586.2917816734</v>
      </c>
      <c r="K21" s="385">
        <f>J21/(J$38)*K$38</f>
        <v>1547667.7804543111</v>
      </c>
      <c r="L21" s="306">
        <f t="shared" si="3"/>
        <v>-96081.488672637613</v>
      </c>
      <c r="M21" s="306"/>
      <c r="N21" s="307">
        <v>0</v>
      </c>
      <c r="O21" s="307">
        <v>0</v>
      </c>
      <c r="P21" s="307"/>
      <c r="Q21" s="385">
        <f t="shared" ca="1" si="7"/>
        <v>-21095.212664798786</v>
      </c>
      <c r="R21" s="279">
        <f t="shared" ca="1" si="8"/>
        <v>-214124.11161247914</v>
      </c>
      <c r="S21" s="279"/>
      <c r="T21" s="281">
        <f t="shared" ca="1" si="4"/>
        <v>-214124.11161247914</v>
      </c>
      <c r="V21" s="313">
        <f t="shared" ca="1" si="5"/>
        <v>-193028.89894768037</v>
      </c>
      <c r="W21" t="str">
        <f t="shared" si="6"/>
        <v>OKT.004</v>
      </c>
    </row>
    <row r="22" spans="1:23">
      <c r="A22" s="335" t="s">
        <v>207</v>
      </c>
      <c r="B22" s="276" t="s">
        <v>182</v>
      </c>
      <c r="C22" s="286" t="str">
        <f t="shared" ca="1" si="0"/>
        <v>Install 345kV terminal at Valliant***</v>
      </c>
      <c r="D22" s="278">
        <f t="shared" ca="1" si="0"/>
        <v>2012</v>
      </c>
      <c r="E22" s="306">
        <v>0</v>
      </c>
      <c r="F22" s="307">
        <f t="shared" ca="1" si="0"/>
        <v>0</v>
      </c>
      <c r="G22" s="307">
        <f t="shared" ca="1" si="1"/>
        <v>0</v>
      </c>
      <c r="H22" s="308"/>
      <c r="I22" s="495">
        <f t="shared" ca="1" si="2"/>
        <v>0</v>
      </c>
      <c r="J22" s="385">
        <v>0</v>
      </c>
      <c r="K22" s="385">
        <v>0</v>
      </c>
      <c r="L22" s="306">
        <f t="shared" si="3"/>
        <v>0</v>
      </c>
      <c r="M22" s="306"/>
      <c r="N22" s="307">
        <v>0</v>
      </c>
      <c r="O22" s="307">
        <v>0</v>
      </c>
      <c r="P22" s="307"/>
      <c r="Q22" s="385">
        <f t="shared" ca="1" si="7"/>
        <v>0</v>
      </c>
      <c r="R22" s="279">
        <f t="shared" ca="1" si="8"/>
        <v>0</v>
      </c>
      <c r="S22" s="279"/>
      <c r="T22" s="281">
        <f t="shared" ca="1" si="4"/>
        <v>0</v>
      </c>
      <c r="V22" s="313">
        <f t="shared" ca="1" si="5"/>
        <v>0</v>
      </c>
      <c r="W22" t="str">
        <f t="shared" si="6"/>
        <v>OKT.005</v>
      </c>
    </row>
    <row r="23" spans="1:23" ht="25.5">
      <c r="A23" s="335" t="s">
        <v>208</v>
      </c>
      <c r="B23" s="276" t="s">
        <v>182</v>
      </c>
      <c r="C23" s="286" t="str">
        <f t="shared" ca="1" si="0"/>
        <v xml:space="preserve">Canadian River - McAlester City 138 kV Line Conversion </v>
      </c>
      <c r="D23" s="278">
        <f t="shared" ca="1" si="0"/>
        <v>2013</v>
      </c>
      <c r="E23" s="306">
        <v>0</v>
      </c>
      <c r="F23" s="307">
        <f t="shared" ca="1" si="0"/>
        <v>0</v>
      </c>
      <c r="G23" s="307">
        <f t="shared" ca="1" si="1"/>
        <v>0</v>
      </c>
      <c r="H23" s="308"/>
      <c r="I23" s="495">
        <f t="shared" ca="1" si="2"/>
        <v>-252111.12404104881</v>
      </c>
      <c r="J23" s="385">
        <v>3952248.5826041913</v>
      </c>
      <c r="K23" s="385">
        <f t="shared" ref="K23:K36" si="9">J23/(J$38)*K$38</f>
        <v>4213850.6172685185</v>
      </c>
      <c r="L23" s="306">
        <f t="shared" si="3"/>
        <v>-261602.03466432728</v>
      </c>
      <c r="M23" s="306"/>
      <c r="N23" s="307">
        <v>0</v>
      </c>
      <c r="O23" s="307">
        <v>0</v>
      </c>
      <c r="P23" s="307"/>
      <c r="Q23" s="385">
        <f t="shared" ca="1" si="7"/>
        <v>-56141.274133945772</v>
      </c>
      <c r="R23" s="279">
        <f t="shared" ca="1" si="8"/>
        <v>-569854.4328393219</v>
      </c>
      <c r="S23" s="279"/>
      <c r="T23" s="281">
        <f t="shared" ca="1" si="4"/>
        <v>-569854.4328393219</v>
      </c>
      <c r="V23" s="313">
        <f t="shared" ca="1" si="5"/>
        <v>-513713.15870537609</v>
      </c>
      <c r="W23" t="str">
        <f t="shared" si="6"/>
        <v>OKT.006</v>
      </c>
    </row>
    <row r="24" spans="1:23">
      <c r="A24" s="335" t="s">
        <v>216</v>
      </c>
      <c r="B24" s="276" t="s">
        <v>182</v>
      </c>
      <c r="C24" s="286" t="str">
        <f t="shared" ca="1" si="0"/>
        <v xml:space="preserve">Cornville Station Conversion </v>
      </c>
      <c r="D24" s="278">
        <f t="shared" ca="1" si="0"/>
        <v>2014</v>
      </c>
      <c r="E24" s="306">
        <v>0</v>
      </c>
      <c r="F24" s="307">
        <f t="shared" ca="1" si="0"/>
        <v>0</v>
      </c>
      <c r="G24" s="307">
        <f t="shared" ref="G24:G30" ca="1" si="10">+E24+F24</f>
        <v>0</v>
      </c>
      <c r="H24" s="308"/>
      <c r="I24" s="495">
        <f t="shared" ca="1" si="2"/>
        <v>-88121.915531438077</v>
      </c>
      <c r="J24" s="385">
        <v>1405483.5554338132</v>
      </c>
      <c r="K24" s="385">
        <f t="shared" si="9"/>
        <v>1498513.4724807998</v>
      </c>
      <c r="L24" s="306">
        <f t="shared" ref="L24:L30" si="11">+J24-K24</f>
        <v>-93029.91704698652</v>
      </c>
      <c r="M24" s="306"/>
      <c r="N24" s="307">
        <v>0</v>
      </c>
      <c r="O24" s="307">
        <v>0</v>
      </c>
      <c r="P24" s="307"/>
      <c r="Q24" s="385">
        <f t="shared" ca="1" si="7"/>
        <v>-19797.224424388784</v>
      </c>
      <c r="R24" s="279">
        <f t="shared" ref="R24:R30" ca="1" si="12">I24+L24+P24+Q24</f>
        <v>-200949.05700281338</v>
      </c>
      <c r="S24" s="279"/>
      <c r="T24" s="281">
        <f t="shared" ref="T24:T30" ca="1" si="13">+G24+R24</f>
        <v>-200949.05700281338</v>
      </c>
      <c r="V24" s="313">
        <f t="shared" ref="V24:V30" ca="1" si="14">+I24+L24+P24</f>
        <v>-181151.8325784246</v>
      </c>
      <c r="W24" t="str">
        <f t="shared" ref="W24:W30" si="15">A24</f>
        <v>OKT.007</v>
      </c>
    </row>
    <row r="25" spans="1:23">
      <c r="A25" s="335" t="s">
        <v>217</v>
      </c>
      <c r="B25" s="276" t="s">
        <v>182</v>
      </c>
      <c r="C25" s="286" t="str">
        <f t="shared" ca="1" si="0"/>
        <v>Coweta 69 kV Capacitor</v>
      </c>
      <c r="D25" s="278">
        <f t="shared" ca="1" si="0"/>
        <v>2014</v>
      </c>
      <c r="E25" s="369">
        <v>0</v>
      </c>
      <c r="F25" s="370">
        <f t="shared" ca="1" si="0"/>
        <v>0</v>
      </c>
      <c r="G25" s="370">
        <f t="shared" ca="1" si="10"/>
        <v>0</v>
      </c>
      <c r="H25" s="371"/>
      <c r="I25" s="495">
        <f t="shared" ca="1" si="2"/>
        <v>-17472.182468240615</v>
      </c>
      <c r="J25" s="385">
        <v>261972.82445866257</v>
      </c>
      <c r="K25" s="385">
        <f t="shared" si="9"/>
        <v>279312.98474280891</v>
      </c>
      <c r="L25" s="369">
        <f t="shared" si="11"/>
        <v>-17340.160284146346</v>
      </c>
      <c r="M25" s="369"/>
      <c r="N25" s="370">
        <v>0</v>
      </c>
      <c r="O25" s="370">
        <v>0</v>
      </c>
      <c r="P25" s="307"/>
      <c r="Q25" s="386">
        <f t="shared" ca="1" si="7"/>
        <v>-3804.475794686673</v>
      </c>
      <c r="R25" s="362">
        <f t="shared" ca="1" si="12"/>
        <v>-38616.818547073635</v>
      </c>
      <c r="S25" s="362"/>
      <c r="T25" s="364">
        <f t="shared" ca="1" si="13"/>
        <v>-38616.818547073635</v>
      </c>
      <c r="V25" s="313">
        <f ca="1">+I25+L25+P25</f>
        <v>-34812.342752386961</v>
      </c>
      <c r="W25" t="str">
        <f t="shared" si="15"/>
        <v>OKT.008</v>
      </c>
    </row>
    <row r="26" spans="1:23">
      <c r="A26" s="372" t="s">
        <v>225</v>
      </c>
      <c r="B26" s="276" t="s">
        <v>182</v>
      </c>
      <c r="C26" s="286" t="str">
        <f t="shared" ca="1" si="0"/>
        <v>Prattville-Bluebell 138 kV</v>
      </c>
      <c r="D26" s="278">
        <f t="shared" ca="1" si="0"/>
        <v>2015</v>
      </c>
      <c r="E26" s="369">
        <v>0</v>
      </c>
      <c r="F26" s="370">
        <f t="shared" ca="1" si="0"/>
        <v>0</v>
      </c>
      <c r="G26" s="370">
        <f t="shared" ca="1" si="10"/>
        <v>0</v>
      </c>
      <c r="H26" s="371"/>
      <c r="I26" s="495">
        <f t="shared" ca="1" si="2"/>
        <v>-76131.803350475617</v>
      </c>
      <c r="J26" s="385">
        <v>1194052.307704478</v>
      </c>
      <c r="K26" s="385">
        <f t="shared" si="9"/>
        <v>1273087.445971339</v>
      </c>
      <c r="L26" s="369">
        <f t="shared" si="11"/>
        <v>-79035.138266860973</v>
      </c>
      <c r="M26" s="369"/>
      <c r="N26" s="370">
        <v>0</v>
      </c>
      <c r="O26" s="370">
        <v>0</v>
      </c>
      <c r="P26" s="307"/>
      <c r="Q26" s="386">
        <f t="shared" ca="1" si="7"/>
        <v>-16957.458959817934</v>
      </c>
      <c r="R26" s="362">
        <f t="shared" ca="1" si="12"/>
        <v>-172124.40057715453</v>
      </c>
      <c r="S26" s="362"/>
      <c r="T26" s="364">
        <f t="shared" ca="1" si="13"/>
        <v>-172124.40057715453</v>
      </c>
      <c r="V26" s="313">
        <f t="shared" ca="1" si="14"/>
        <v>-155166.94161733659</v>
      </c>
      <c r="W26" t="str">
        <f t="shared" si="15"/>
        <v>OKT.009</v>
      </c>
    </row>
    <row r="27" spans="1:23">
      <c r="A27" s="372" t="s">
        <v>226</v>
      </c>
      <c r="B27" s="276" t="s">
        <v>182</v>
      </c>
      <c r="C27" s="286" t="str">
        <f t="shared" ca="1" si="0"/>
        <v>Wapanucka Customer Connection</v>
      </c>
      <c r="D27" s="278">
        <f t="shared" ca="1" si="0"/>
        <v>2013</v>
      </c>
      <c r="E27" s="369">
        <v>0</v>
      </c>
      <c r="F27" s="370">
        <f t="shared" ca="1" si="0"/>
        <v>0</v>
      </c>
      <c r="G27" s="370">
        <f t="shared" ca="1" si="10"/>
        <v>0</v>
      </c>
      <c r="H27" s="371"/>
      <c r="I27" s="495">
        <f t="shared" ca="1" si="2"/>
        <v>-49016.225914967479</v>
      </c>
      <c r="J27" s="385">
        <v>995288.96285561123</v>
      </c>
      <c r="K27" s="385">
        <f t="shared" si="9"/>
        <v>1061167.8194912975</v>
      </c>
      <c r="L27" s="369">
        <f t="shared" si="11"/>
        <v>-65878.856635686243</v>
      </c>
      <c r="M27" s="369"/>
      <c r="N27" s="370">
        <v>0</v>
      </c>
      <c r="O27" s="370">
        <v>0</v>
      </c>
      <c r="P27" s="307"/>
      <c r="Q27" s="386">
        <f t="shared" ca="1" si="7"/>
        <v>-12556.338526298054</v>
      </c>
      <c r="R27" s="362">
        <f t="shared" ca="1" si="12"/>
        <v>-127451.42107695178</v>
      </c>
      <c r="S27" s="362"/>
      <c r="T27" s="364">
        <f t="shared" ca="1" si="13"/>
        <v>-127451.42107695178</v>
      </c>
      <c r="V27" s="313">
        <f t="shared" ca="1" si="14"/>
        <v>-114895.08255065372</v>
      </c>
      <c r="W27" t="str">
        <f t="shared" si="15"/>
        <v>OKT.010</v>
      </c>
    </row>
    <row r="28" spans="1:23">
      <c r="A28" s="372" t="s">
        <v>227</v>
      </c>
      <c r="B28" s="276" t="s">
        <v>182</v>
      </c>
      <c r="C28" s="286" t="str">
        <f t="shared" ca="1" si="0"/>
        <v>Grady Customer Connection</v>
      </c>
      <c r="D28" s="278">
        <f t="shared" ca="1" si="0"/>
        <v>2014</v>
      </c>
      <c r="E28" s="369">
        <v>0</v>
      </c>
      <c r="F28" s="370">
        <f t="shared" ca="1" si="0"/>
        <v>0</v>
      </c>
      <c r="G28" s="370">
        <f t="shared" ca="1" si="10"/>
        <v>0</v>
      </c>
      <c r="H28" s="371"/>
      <c r="I28" s="495">
        <f t="shared" ca="1" si="2"/>
        <v>-178218.0192987253</v>
      </c>
      <c r="J28" s="385">
        <v>2819008.0797766908</v>
      </c>
      <c r="K28" s="385">
        <f t="shared" si="9"/>
        <v>3005600.1510979841</v>
      </c>
      <c r="L28" s="369">
        <f t="shared" si="11"/>
        <v>-186592.07132129325</v>
      </c>
      <c r="M28" s="369"/>
      <c r="N28" s="370">
        <v>0</v>
      </c>
      <c r="O28" s="370">
        <v>0</v>
      </c>
      <c r="P28" s="307"/>
      <c r="Q28" s="386">
        <f t="shared" ca="1" si="7"/>
        <v>-39868.364197527269</v>
      </c>
      <c r="R28" s="362">
        <f t="shared" ca="1" si="12"/>
        <v>-404678.45481754583</v>
      </c>
      <c r="S28" s="362"/>
      <c r="T28" s="364">
        <f t="shared" ca="1" si="13"/>
        <v>-404678.45481754583</v>
      </c>
      <c r="V28" s="313">
        <f t="shared" ca="1" si="14"/>
        <v>-364810.09062001854</v>
      </c>
      <c r="W28" t="str">
        <f t="shared" si="15"/>
        <v>OKT.011</v>
      </c>
    </row>
    <row r="29" spans="1:23">
      <c r="A29" s="372" t="s">
        <v>228</v>
      </c>
      <c r="B29" s="276" t="s">
        <v>182</v>
      </c>
      <c r="C29" s="286" t="str">
        <f t="shared" ca="1" si="0"/>
        <v>Darlington-Red Rock 138 kV line</v>
      </c>
      <c r="D29" s="278">
        <f t="shared" ca="1" si="0"/>
        <v>2013</v>
      </c>
      <c r="E29" s="369">
        <v>0</v>
      </c>
      <c r="F29" s="370">
        <f t="shared" ca="1" si="0"/>
        <v>0</v>
      </c>
      <c r="G29" s="370">
        <f t="shared" ca="1" si="10"/>
        <v>0</v>
      </c>
      <c r="H29" s="371"/>
      <c r="I29" s="495">
        <f t="shared" ca="1" si="2"/>
        <v>-85540.252276614308</v>
      </c>
      <c r="J29" s="385">
        <v>1825964.3286192277</v>
      </c>
      <c r="K29" s="385">
        <f t="shared" si="9"/>
        <v>1946826.1554015214</v>
      </c>
      <c r="L29" s="369">
        <f t="shared" si="11"/>
        <v>-120861.82678229362</v>
      </c>
      <c r="M29" s="369"/>
      <c r="N29" s="370">
        <v>0</v>
      </c>
      <c r="O29" s="370">
        <v>0</v>
      </c>
      <c r="P29" s="307"/>
      <c r="Q29" s="386">
        <f t="shared" ca="1" si="7"/>
        <v>-22556.704078721566</v>
      </c>
      <c r="R29" s="362">
        <f t="shared" ca="1" si="12"/>
        <v>-228958.78313762951</v>
      </c>
      <c r="S29" s="362"/>
      <c r="T29" s="364">
        <f t="shared" ca="1" si="13"/>
        <v>-228958.78313762951</v>
      </c>
      <c r="V29" s="313">
        <f t="shared" ca="1" si="14"/>
        <v>-206402.07905890793</v>
      </c>
      <c r="W29" t="str">
        <f t="shared" si="15"/>
        <v>OKT.012</v>
      </c>
    </row>
    <row r="30" spans="1:23">
      <c r="A30" s="372" t="s">
        <v>233</v>
      </c>
      <c r="B30" s="276" t="s">
        <v>182</v>
      </c>
      <c r="C30" s="286" t="str">
        <f t="shared" ca="1" si="0"/>
        <v>Ellis 138 kV</v>
      </c>
      <c r="D30" s="278">
        <f t="shared" ca="1" si="0"/>
        <v>2013</v>
      </c>
      <c r="E30" s="369">
        <v>0</v>
      </c>
      <c r="F30" s="370">
        <f t="shared" ca="1" si="0"/>
        <v>0</v>
      </c>
      <c r="G30" s="370">
        <f t="shared" ca="1" si="10"/>
        <v>0</v>
      </c>
      <c r="H30" s="371"/>
      <c r="I30" s="495">
        <f t="shared" ca="1" si="2"/>
        <v>603616.92453524831</v>
      </c>
      <c r="J30" s="385">
        <v>74110.567924609582</v>
      </c>
      <c r="K30" s="385">
        <f t="shared" si="9"/>
        <v>79015.997062984286</v>
      </c>
      <c r="L30" s="369">
        <f t="shared" si="11"/>
        <v>-4905.4291383747041</v>
      </c>
      <c r="M30" s="369"/>
      <c r="N30" s="370">
        <v>0</v>
      </c>
      <c r="O30" s="370">
        <v>0</v>
      </c>
      <c r="P30" s="307"/>
      <c r="Q30" s="386">
        <f t="shared" ca="1" si="7"/>
        <v>65430.339131137247</v>
      </c>
      <c r="R30" s="362">
        <f t="shared" ca="1" si="12"/>
        <v>664141.8345280108</v>
      </c>
      <c r="S30" s="362"/>
      <c r="T30" s="364">
        <f t="shared" ca="1" si="13"/>
        <v>664141.8345280108</v>
      </c>
      <c r="V30" s="313">
        <f t="shared" ca="1" si="14"/>
        <v>598711.49539687356</v>
      </c>
      <c r="W30" t="str">
        <f t="shared" si="15"/>
        <v>OKT.013</v>
      </c>
    </row>
    <row r="31" spans="1:23">
      <c r="A31" s="372" t="s">
        <v>236</v>
      </c>
      <c r="B31" s="276" t="s">
        <v>182</v>
      </c>
      <c r="C31" s="286" t="str">
        <f t="shared" ca="1" si="0"/>
        <v>Valliant-NW Texarkana 345 kV</v>
      </c>
      <c r="D31" s="278">
        <f t="shared" ca="1" si="0"/>
        <v>2016</v>
      </c>
      <c r="E31" s="369">
        <v>0</v>
      </c>
      <c r="F31" s="370">
        <f t="shared" ca="1" si="0"/>
        <v>0</v>
      </c>
      <c r="G31" s="370">
        <f ca="1">+E31+F31</f>
        <v>0</v>
      </c>
      <c r="H31" s="371"/>
      <c r="I31" s="495">
        <f t="shared" ca="1" si="2"/>
        <v>-913199.66898943111</v>
      </c>
      <c r="J31" s="385">
        <v>11363304.627389889</v>
      </c>
      <c r="K31" s="385">
        <f t="shared" si="9"/>
        <v>12115449.52640255</v>
      </c>
      <c r="L31" s="369">
        <f t="shared" ref="L31:L36" si="16">+J31-K31</f>
        <v>-752144.89901266061</v>
      </c>
      <c r="M31" s="369"/>
      <c r="N31" s="370">
        <v>0</v>
      </c>
      <c r="O31" s="370">
        <v>0</v>
      </c>
      <c r="P31" s="307"/>
      <c r="Q31" s="386">
        <f t="shared" ca="1" si="7"/>
        <v>-181997.60768305289</v>
      </c>
      <c r="R31" s="362">
        <f t="shared" ref="R31:R36" ca="1" si="17">I31+L31+P31+Q31</f>
        <v>-1847342.1756851445</v>
      </c>
      <c r="S31" s="362"/>
      <c r="T31" s="364">
        <f t="shared" ref="T31:T36" ca="1" si="18">+G31+R31</f>
        <v>-1847342.1756851445</v>
      </c>
      <c r="V31" s="313">
        <f t="shared" ref="V31:V36" ca="1" si="19">+I31+L31+P31</f>
        <v>-1665344.5680020917</v>
      </c>
      <c r="W31" t="str">
        <f t="shared" ref="W31:W36" si="20">A31</f>
        <v>OKT.014</v>
      </c>
    </row>
    <row r="32" spans="1:23">
      <c r="A32" s="372" t="s">
        <v>239</v>
      </c>
      <c r="B32" s="276" t="s">
        <v>182</v>
      </c>
      <c r="C32" s="286" t="str">
        <f t="shared" ca="1" si="0"/>
        <v>Darlington Roman Nose 138 kv</v>
      </c>
      <c r="D32" s="278">
        <f t="shared" ca="1" si="0"/>
        <v>2017</v>
      </c>
      <c r="E32" s="369">
        <v>0</v>
      </c>
      <c r="F32" s="370">
        <f t="shared" ca="1" si="0"/>
        <v>0</v>
      </c>
      <c r="G32" s="370">
        <f ca="1">+E32+F32</f>
        <v>0</v>
      </c>
      <c r="H32" s="371"/>
      <c r="I32" s="495">
        <f t="shared" ca="1" si="2"/>
        <v>-39451.974035163177</v>
      </c>
      <c r="J32" s="385">
        <v>1479941.6722122387</v>
      </c>
      <c r="K32" s="385">
        <f t="shared" si="9"/>
        <v>1577900.0228937503</v>
      </c>
      <c r="L32" s="369">
        <f t="shared" si="16"/>
        <v>-97958.350681511685</v>
      </c>
      <c r="M32" s="369"/>
      <c r="N32" s="370">
        <v>0</v>
      </c>
      <c r="O32" s="370">
        <v>0</v>
      </c>
      <c r="P32" s="307"/>
      <c r="Q32" s="386">
        <f t="shared" ca="1" si="7"/>
        <v>-15016.922533568373</v>
      </c>
      <c r="R32" s="362">
        <f t="shared" ca="1" si="17"/>
        <v>-152427.24725024324</v>
      </c>
      <c r="S32" s="362"/>
      <c r="T32" s="364">
        <f t="shared" ca="1" si="18"/>
        <v>-152427.24725024324</v>
      </c>
      <c r="V32" s="313">
        <f t="shared" ca="1" si="19"/>
        <v>-137410.32471667486</v>
      </c>
      <c r="W32" t="str">
        <f t="shared" si="20"/>
        <v>OKT.015</v>
      </c>
    </row>
    <row r="33" spans="1:23">
      <c r="A33" s="372" t="s">
        <v>248</v>
      </c>
      <c r="B33" s="276" t="s">
        <v>182</v>
      </c>
      <c r="C33" s="286" t="str">
        <f t="shared" ca="1" si="0"/>
        <v>Carnegie South-Southwestern 123 kv line rebuild</v>
      </c>
      <c r="D33" s="278">
        <f t="shared" ca="1" si="0"/>
        <v>2017</v>
      </c>
      <c r="E33" s="369">
        <v>0</v>
      </c>
      <c r="F33" s="370">
        <f t="shared" ca="1" si="0"/>
        <v>0</v>
      </c>
      <c r="G33" s="370">
        <f ca="1">+E33+F33</f>
        <v>0</v>
      </c>
      <c r="H33" s="371"/>
      <c r="I33" s="495">
        <f t="shared" ca="1" si="2"/>
        <v>7520.290718927281</v>
      </c>
      <c r="J33" s="385">
        <v>1242410.3516112138</v>
      </c>
      <c r="K33" s="385">
        <f>J33/(J$38)*K$38</f>
        <v>1324646.3418523332</v>
      </c>
      <c r="L33" s="369">
        <f t="shared" si="16"/>
        <v>-82235.990241119405</v>
      </c>
      <c r="M33" s="369"/>
      <c r="N33" s="370">
        <v>0</v>
      </c>
      <c r="O33" s="370">
        <v>0</v>
      </c>
      <c r="P33" s="307"/>
      <c r="Q33" s="386">
        <f t="shared" ca="1" si="7"/>
        <v>-8165.3243603024175</v>
      </c>
      <c r="R33" s="362">
        <f t="shared" ca="1" si="17"/>
        <v>-82881.023882494541</v>
      </c>
      <c r="S33" s="362"/>
      <c r="T33" s="364">
        <f t="shared" ca="1" si="18"/>
        <v>-82881.023882494541</v>
      </c>
      <c r="V33" s="313">
        <f t="shared" ca="1" si="19"/>
        <v>-74715.699522192124</v>
      </c>
      <c r="W33" t="str">
        <f t="shared" si="20"/>
        <v>OKT.016</v>
      </c>
    </row>
    <row r="34" spans="1:23">
      <c r="A34" s="372" t="s">
        <v>249</v>
      </c>
      <c r="B34" s="276" t="s">
        <v>182</v>
      </c>
      <c r="C34" s="286" t="str">
        <f t="shared" ca="1" si="0"/>
        <v>Chisholm - Gracemont 345 kv line and station</v>
      </c>
      <c r="D34" s="278">
        <f t="shared" ca="1" si="0"/>
        <v>2017</v>
      </c>
      <c r="E34" s="369">
        <v>0</v>
      </c>
      <c r="F34" s="370">
        <f t="shared" ca="1" si="0"/>
        <v>0</v>
      </c>
      <c r="G34" s="370">
        <f ca="1">+E34+F34</f>
        <v>0</v>
      </c>
      <c r="H34" s="371"/>
      <c r="I34" s="495">
        <f t="shared" ca="1" si="2"/>
        <v>-117499.7582328096</v>
      </c>
      <c r="J34" s="385">
        <v>11642834.922050247</v>
      </c>
      <c r="K34" s="385">
        <f t="shared" si="9"/>
        <v>12413482.122298546</v>
      </c>
      <c r="L34" s="369">
        <f t="shared" si="16"/>
        <v>-770647.20024829917</v>
      </c>
      <c r="M34" s="369"/>
      <c r="N34" s="370">
        <v>0</v>
      </c>
      <c r="O34" s="370">
        <v>0</v>
      </c>
      <c r="P34" s="307"/>
      <c r="Q34" s="386">
        <f t="shared" ca="1" si="7"/>
        <v>-97061.367851615956</v>
      </c>
      <c r="R34" s="362">
        <f t="shared" ca="1" si="17"/>
        <v>-985208.32633272477</v>
      </c>
      <c r="S34" s="362"/>
      <c r="T34" s="364">
        <f t="shared" ca="1" si="18"/>
        <v>-985208.32633272477</v>
      </c>
      <c r="V34" s="313">
        <f t="shared" ca="1" si="19"/>
        <v>-888146.95848110877</v>
      </c>
      <c r="W34" t="str">
        <f t="shared" si="20"/>
        <v>OKT.017</v>
      </c>
    </row>
    <row r="35" spans="1:23">
      <c r="A35" s="372" t="s">
        <v>265</v>
      </c>
      <c r="B35" s="276" t="s">
        <v>182</v>
      </c>
      <c r="C35" s="286" t="str">
        <f t="shared" ca="1" si="0"/>
        <v>Duncan-Comanche Tap 69 KV Rebuild</v>
      </c>
      <c r="D35" s="278">
        <f t="shared" ca="1" si="0"/>
        <v>2016</v>
      </c>
      <c r="E35" s="369">
        <v>0</v>
      </c>
      <c r="F35" s="370">
        <f t="shared" ca="1" si="0"/>
        <v>0</v>
      </c>
      <c r="G35" s="370">
        <f ca="1">+E35+F35</f>
        <v>0</v>
      </c>
      <c r="H35" s="371"/>
      <c r="I35" s="495">
        <f t="shared" ca="1" si="2"/>
        <v>-54517.154376801103</v>
      </c>
      <c r="J35" s="386">
        <v>1187888.4238656519</v>
      </c>
      <c r="K35" s="385">
        <f t="shared" si="9"/>
        <v>1266515.5704487993</v>
      </c>
      <c r="L35" s="369">
        <f t="shared" si="16"/>
        <v>-78627.146583147347</v>
      </c>
      <c r="M35" s="369"/>
      <c r="N35" s="370">
        <v>0</v>
      </c>
      <c r="O35" s="370">
        <v>0</v>
      </c>
      <c r="P35" s="307"/>
      <c r="Q35" s="386">
        <f t="shared" ca="1" si="7"/>
        <v>-14550.709034595766</v>
      </c>
      <c r="R35" s="362">
        <f t="shared" ca="1" si="17"/>
        <v>-147695.00999454421</v>
      </c>
      <c r="S35" s="362"/>
      <c r="T35" s="364">
        <f t="shared" ca="1" si="18"/>
        <v>-147695.00999454421</v>
      </c>
      <c r="V35" s="313">
        <f t="shared" ca="1" si="19"/>
        <v>-133144.30095994845</v>
      </c>
      <c r="W35" t="str">
        <f t="shared" si="20"/>
        <v>OKT.018</v>
      </c>
    </row>
    <row r="36" spans="1:23">
      <c r="A36" s="372" t="s">
        <v>289</v>
      </c>
      <c r="B36" s="276" t="s">
        <v>182</v>
      </c>
      <c r="C36" s="286" t="str">
        <f t="shared" ca="1" si="0"/>
        <v>Fort Towson-Valliant 69 KV Line Rebuild</v>
      </c>
      <c r="D36" s="278">
        <f t="shared" ca="1" si="0"/>
        <v>2018</v>
      </c>
      <c r="E36" s="369"/>
      <c r="F36" s="370"/>
      <c r="G36" s="370"/>
      <c r="H36" s="371"/>
      <c r="I36" s="495">
        <f t="shared" ca="1" si="2"/>
        <v>-1047072.1407929109</v>
      </c>
      <c r="J36" s="386">
        <v>1047072.1407929109</v>
      </c>
      <c r="K36" s="385">
        <f t="shared" si="9"/>
        <v>1116378.5613650884</v>
      </c>
      <c r="L36" s="369">
        <f t="shared" si="16"/>
        <v>-69306.420572177507</v>
      </c>
      <c r="M36" s="369"/>
      <c r="N36" s="370">
        <v>0</v>
      </c>
      <c r="O36" s="370">
        <v>0</v>
      </c>
      <c r="P36" s="307"/>
      <c r="Q36" s="386">
        <f ca="1">+V36/$V$38 * $Q$38</f>
        <v>-122003.71703307416</v>
      </c>
      <c r="R36" s="362">
        <f t="shared" ca="1" si="17"/>
        <v>-1238382.2783981627</v>
      </c>
      <c r="S36" s="362"/>
      <c r="T36" s="364">
        <f t="shared" ca="1" si="18"/>
        <v>-1238382.2783981627</v>
      </c>
      <c r="V36" s="313">
        <f t="shared" ca="1" si="19"/>
        <v>-1116378.5613650884</v>
      </c>
      <c r="W36" t="str">
        <f t="shared" si="20"/>
        <v>OKT.019</v>
      </c>
    </row>
    <row r="37" spans="1:23">
      <c r="A37" s="277"/>
      <c r="B37" s="277"/>
      <c r="C37" s="277"/>
      <c r="D37" s="276"/>
      <c r="E37" s="362"/>
      <c r="F37" s="362"/>
      <c r="G37" s="362"/>
      <c r="H37" s="279"/>
      <c r="I37" s="362"/>
      <c r="J37" s="362"/>
      <c r="K37" s="363"/>
      <c r="L37" s="362"/>
      <c r="M37" s="362"/>
      <c r="N37" s="362"/>
      <c r="O37" s="362"/>
      <c r="P37" s="362"/>
      <c r="Q37" s="362"/>
      <c r="R37" s="362"/>
      <c r="S37" s="279"/>
      <c r="T37" s="364"/>
      <c r="V37" s="312"/>
    </row>
    <row r="38" spans="1:23">
      <c r="A38" s="277"/>
      <c r="B38" s="277"/>
      <c r="C38" s="418" t="s">
        <v>183</v>
      </c>
      <c r="D38" s="419"/>
      <c r="E38" s="420">
        <f>SUM(E18:E37)</f>
        <v>0</v>
      </c>
      <c r="F38" s="420">
        <f ca="1">SUM(F18:F37)</f>
        <v>0</v>
      </c>
      <c r="G38" s="420">
        <f ca="1">SUM(G18:G37)</f>
        <v>0</v>
      </c>
      <c r="H38" s="420"/>
      <c r="I38" s="420">
        <f ca="1">SUM(I18:I37)</f>
        <v>-2422924.4587087589</v>
      </c>
      <c r="J38" s="420">
        <f>SUM(J18:J37)</f>
        <v>42247278.175605617</v>
      </c>
      <c r="K38" s="421">
        <v>45043654.390000001</v>
      </c>
      <c r="L38" s="420">
        <f>SUM(L18:L37)</f>
        <v>-2796376.2143943799</v>
      </c>
      <c r="M38" s="420"/>
      <c r="N38" s="420">
        <f>SUM(N18:N37)</f>
        <v>0</v>
      </c>
      <c r="O38" s="420">
        <f>SUM(O18:O37)</f>
        <v>0</v>
      </c>
      <c r="P38" s="420">
        <f>SUM(P18:P37)</f>
        <v>0</v>
      </c>
      <c r="Q38" s="421">
        <v>-570392.61095552798</v>
      </c>
      <c r="R38" s="420">
        <f ca="1">SUM(R18:R37)</f>
        <v>-5789693.2840586659</v>
      </c>
      <c r="S38" s="420"/>
      <c r="T38" s="420">
        <f ca="1">SUM(T18:T37)</f>
        <v>-5789693.2840586659</v>
      </c>
      <c r="V38" s="337">
        <f ca="1">SUM(V18:V37)</f>
        <v>-5219300.6731031388</v>
      </c>
      <c r="W38" s="230" t="s">
        <v>180</v>
      </c>
    </row>
    <row r="39" spans="1:23" ht="13.5" thickBot="1">
      <c r="A39" s="277"/>
      <c r="B39" s="277"/>
      <c r="C39" s="282"/>
      <c r="D39" s="277"/>
      <c r="E39" s="287"/>
      <c r="F39" s="304" t="str">
        <f ca="1">IF(F38=OKT.WS.F.BPU.ATRR.Projected!O19,"","Error")</f>
        <v/>
      </c>
      <c r="G39" s="332"/>
      <c r="H39" s="277"/>
      <c r="J39" s="333"/>
      <c r="K39" s="283"/>
      <c r="L39" s="283"/>
      <c r="M39" s="283"/>
      <c r="N39" s="283"/>
      <c r="O39" s="283"/>
      <c r="P39" s="283"/>
      <c r="Q39" s="283"/>
      <c r="R39" s="279"/>
      <c r="S39" s="279"/>
      <c r="T39" s="279"/>
      <c r="V39" s="328"/>
      <c r="W39" s="230"/>
    </row>
    <row r="40" spans="1:23">
      <c r="A40" s="277"/>
      <c r="B40" s="277"/>
      <c r="C40" s="351" t="s">
        <v>212</v>
      </c>
      <c r="D40" s="277"/>
      <c r="E40" s="279"/>
      <c r="F40" s="279"/>
      <c r="G40" s="279"/>
      <c r="H40" s="277"/>
      <c r="I40" s="343"/>
      <c r="J40" s="343"/>
      <c r="K40" s="277" t="s">
        <v>290</v>
      </c>
      <c r="L40" s="277"/>
      <c r="M40" s="277"/>
      <c r="N40" s="283"/>
      <c r="O40" s="283"/>
      <c r="P40" s="283"/>
      <c r="Q40" s="283"/>
      <c r="R40" s="279"/>
      <c r="S40" s="279"/>
      <c r="T40" s="279"/>
    </row>
    <row r="41" spans="1:23">
      <c r="A41" s="277"/>
      <c r="B41" s="277"/>
      <c r="C41" s="284" t="s">
        <v>157</v>
      </c>
      <c r="D41" s="277"/>
      <c r="E41" s="279"/>
      <c r="F41" s="279"/>
      <c r="G41" s="279"/>
      <c r="H41" s="277"/>
      <c r="J41" s="285"/>
      <c r="L41" s="277"/>
      <c r="M41" s="277"/>
      <c r="N41" s="283"/>
      <c r="O41" s="283"/>
      <c r="P41" s="283"/>
      <c r="Q41" s="283"/>
      <c r="R41" s="283"/>
      <c r="S41" s="277"/>
      <c r="T41" s="277"/>
    </row>
    <row r="42" spans="1:23">
      <c r="E42" s="10"/>
      <c r="F42" s="10"/>
      <c r="G42" s="10"/>
      <c r="I42" s="10"/>
      <c r="J42" s="326"/>
      <c r="N42" s="269"/>
      <c r="O42" s="269"/>
      <c r="P42" s="269"/>
      <c r="Q42" s="269"/>
      <c r="R42" s="269"/>
    </row>
    <row r="43" spans="1:23">
      <c r="E43" s="10"/>
      <c r="F43" s="10"/>
      <c r="G43" s="10"/>
    </row>
    <row r="44" spans="1:23">
      <c r="A44" s="289" t="s">
        <v>158</v>
      </c>
      <c r="B44" s="290"/>
      <c r="C44" s="290"/>
      <c r="D44" s="290"/>
      <c r="E44" s="291"/>
      <c r="F44" s="291"/>
      <c r="G44" s="291"/>
      <c r="H44" s="290"/>
      <c r="I44" s="290"/>
      <c r="J44" s="290"/>
      <c r="K44" s="290"/>
      <c r="L44" s="290"/>
      <c r="M44" s="290"/>
      <c r="N44" s="290"/>
      <c r="O44" s="228"/>
      <c r="V44" t="s">
        <v>171</v>
      </c>
    </row>
    <row r="45" spans="1:23" ht="15.75">
      <c r="A45" s="292" t="s">
        <v>161</v>
      </c>
      <c r="B45" s="7"/>
      <c r="C45" s="293" t="str">
        <f ca="1">RIGHT(CELL("address",OKT.001!D7),4)</f>
        <v>$D$7</v>
      </c>
      <c r="D45" s="293" t="str">
        <f ca="1">RIGHT(CELL("address",OKT.001!D11),4)</f>
        <v>D$11</v>
      </c>
      <c r="E45" s="293" t="str">
        <f ca="1">RIGHT(CELL("address",OKT.001!N5),4)</f>
        <v>$N$5</v>
      </c>
      <c r="F45" s="293" t="str">
        <f ca="1">RIGHT(CELL("address",OKT.001!N7),4)</f>
        <v>$N$7</v>
      </c>
      <c r="G45" s="7"/>
      <c r="H45" s="294"/>
      <c r="I45" s="293" t="str">
        <f ca="1">RIGHT(CELL("address",OKT.001!M90),4)</f>
        <v>M$90</v>
      </c>
      <c r="J45" s="293"/>
      <c r="K45" s="7"/>
      <c r="L45" s="7"/>
      <c r="M45" s="7"/>
      <c r="N45" s="293" t="str">
        <f ca="1">RIGHT(CELL("address",OKT.001!N88),4)</f>
        <v>N$88</v>
      </c>
      <c r="O45" s="295" t="str">
        <f ca="1">RIGHT(CELL("address",OKT.001!N89),4)</f>
        <v>N$89</v>
      </c>
      <c r="P45" s="48" t="s">
        <v>160</v>
      </c>
      <c r="V45" t="s">
        <v>172</v>
      </c>
    </row>
    <row r="46" spans="1:23">
      <c r="A46" s="296" t="s">
        <v>162</v>
      </c>
      <c r="B46" s="297"/>
      <c r="C46" s="297"/>
      <c r="D46" s="297"/>
      <c r="E46" s="268"/>
      <c r="F46" s="268"/>
      <c r="G46" s="268"/>
      <c r="H46" s="297"/>
      <c r="I46" s="297"/>
      <c r="J46" s="297"/>
      <c r="K46" s="297"/>
      <c r="L46" s="297"/>
      <c r="M46" s="297"/>
      <c r="N46" s="297"/>
      <c r="O46" s="298"/>
      <c r="V46" t="s">
        <v>173</v>
      </c>
    </row>
    <row r="47" spans="1:23">
      <c r="E47" s="10"/>
      <c r="F47" s="10"/>
      <c r="G47" s="10"/>
      <c r="V47" t="s">
        <v>174</v>
      </c>
    </row>
    <row r="48" spans="1:23">
      <c r="E48" s="10"/>
      <c r="F48" s="10"/>
      <c r="G48" s="10"/>
      <c r="V48" t="s">
        <v>175</v>
      </c>
    </row>
    <row r="53" spans="5:10" ht="12.75" customHeight="1">
      <c r="G53" s="9"/>
      <c r="I53" s="494"/>
      <c r="J53" s="494"/>
    </row>
    <row r="54" spans="5:10" ht="12.75" customHeight="1">
      <c r="E54" s="490"/>
      <c r="F54" s="490"/>
      <c r="G54" s="497"/>
      <c r="I54" s="490"/>
      <c r="J54" s="493"/>
    </row>
    <row r="55" spans="5:10" ht="12.75" customHeight="1">
      <c r="E55" s="490"/>
      <c r="F55" s="490"/>
      <c r="G55" s="497"/>
      <c r="I55" s="490"/>
      <c r="J55" s="493"/>
    </row>
    <row r="56" spans="5:10" ht="12.75" customHeight="1">
      <c r="E56" s="490"/>
      <c r="F56" s="490"/>
      <c r="G56" s="497"/>
      <c r="I56" s="490"/>
      <c r="J56" s="493"/>
    </row>
    <row r="57" spans="5:10" ht="12.75" customHeight="1">
      <c r="E57" s="490"/>
      <c r="F57" s="490"/>
      <c r="G57" s="497"/>
      <c r="I57" s="490"/>
      <c r="J57" s="493"/>
    </row>
    <row r="58" spans="5:10" ht="12.75" customHeight="1">
      <c r="E58" s="490"/>
      <c r="F58" s="490"/>
      <c r="G58" s="497"/>
      <c r="I58" s="490"/>
      <c r="J58" s="493"/>
    </row>
    <row r="59" spans="5:10" ht="12.75" customHeight="1">
      <c r="E59" s="490"/>
      <c r="F59" s="490"/>
      <c r="G59" s="497"/>
      <c r="I59" s="490"/>
      <c r="J59" s="493"/>
    </row>
    <row r="60" spans="5:10" ht="12.75" customHeight="1">
      <c r="E60" s="490"/>
      <c r="F60" s="490"/>
      <c r="G60" s="497"/>
      <c r="I60" s="490"/>
      <c r="J60" s="493"/>
    </row>
    <row r="61" spans="5:10" ht="12.75" customHeight="1">
      <c r="E61" s="490"/>
      <c r="F61" s="490"/>
      <c r="G61" s="497"/>
      <c r="I61" s="490"/>
      <c r="J61" s="493"/>
    </row>
    <row r="62" spans="5:10" ht="12.75" customHeight="1">
      <c r="E62" s="490"/>
      <c r="F62" s="490"/>
      <c r="G62" s="497"/>
      <c r="I62" s="490"/>
      <c r="J62" s="493"/>
    </row>
    <row r="63" spans="5:10" ht="12.75" customHeight="1">
      <c r="E63" s="490"/>
      <c r="F63" s="490"/>
      <c r="G63" s="497"/>
      <c r="I63" s="490"/>
      <c r="J63" s="493"/>
    </row>
    <row r="64" spans="5:10" ht="12.75" customHeight="1">
      <c r="E64" s="490"/>
      <c r="F64" s="490"/>
      <c r="G64" s="497"/>
      <c r="I64" s="490"/>
      <c r="J64" s="493"/>
    </row>
    <row r="65" spans="5:10" ht="12.75" customHeight="1">
      <c r="E65" s="490"/>
      <c r="F65" s="490"/>
      <c r="G65" s="497"/>
      <c r="I65" s="490"/>
      <c r="J65" s="493"/>
    </row>
    <row r="66" spans="5:10" ht="12.75" customHeight="1">
      <c r="E66" s="490"/>
      <c r="F66" s="490"/>
      <c r="G66" s="497"/>
      <c r="I66" s="490"/>
      <c r="J66" s="493"/>
    </row>
    <row r="67" spans="5:10" ht="12.75" customHeight="1">
      <c r="E67" s="490"/>
      <c r="F67" s="490"/>
      <c r="G67" s="497"/>
      <c r="I67" s="490"/>
      <c r="J67" s="493"/>
    </row>
    <row r="68" spans="5:10" ht="12.75" customHeight="1">
      <c r="E68" s="490"/>
      <c r="F68" s="490"/>
      <c r="G68" s="497"/>
      <c r="I68" s="490"/>
      <c r="J68" s="493"/>
    </row>
    <row r="69" spans="5:10" ht="12.75" customHeight="1">
      <c r="E69" s="490"/>
      <c r="F69" s="490"/>
      <c r="G69" s="497"/>
      <c r="I69" s="490"/>
      <c r="J69" s="493"/>
    </row>
    <row r="70" spans="5:10" ht="12.75" customHeight="1">
      <c r="E70" s="490"/>
      <c r="F70" s="490"/>
      <c r="G70" s="497"/>
      <c r="I70" s="490"/>
      <c r="J70" s="493"/>
    </row>
    <row r="71" spans="5:10" ht="12.75" customHeight="1">
      <c r="E71" s="490"/>
      <c r="F71" s="490"/>
      <c r="G71" s="497"/>
      <c r="I71" s="490"/>
      <c r="J71" s="493"/>
    </row>
    <row r="72" spans="5:10" ht="12.75" customHeight="1">
      <c r="E72" s="490"/>
      <c r="F72" s="490"/>
      <c r="G72" s="497"/>
      <c r="I72" s="490"/>
      <c r="J72" s="493"/>
    </row>
    <row r="73" spans="5:10" ht="12.75" customHeight="1">
      <c r="E73" s="490"/>
      <c r="F73" s="490"/>
      <c r="I73" s="490"/>
      <c r="J73" s="493"/>
    </row>
    <row r="74" spans="5:10" ht="12.75" customHeight="1">
      <c r="E74" s="490"/>
      <c r="F74" s="490"/>
      <c r="G74" s="497"/>
      <c r="I74" s="490"/>
      <c r="J74" s="493"/>
    </row>
  </sheetData>
  <mergeCells count="2">
    <mergeCell ref="E13:G13"/>
    <mergeCell ref="T14:T16"/>
  </mergeCells>
  <phoneticPr fontId="62" type="noConversion"/>
  <pageMargins left="0.5" right="0.5" top="1" bottom="1" header="0.65" footer="0.5"/>
  <pageSetup scale="54"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U163"/>
  <sheetViews>
    <sheetView view="pageBreakPreview" zoomScale="80" zoomScaleNormal="100" zoomScaleSheetLayoutView="80" workbookViewId="0">
      <selection activeCell="D21" sqref="D21:H21"/>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8.5703125" customWidth="1"/>
    <col min="11" max="11" width="17.7109375" customWidth="1"/>
    <col min="12" max="12" width="16.140625" customWidth="1"/>
    <col min="13" max="13" width="18.7109375" customWidth="1"/>
    <col min="14" max="14" width="20.42578125" customWidth="1"/>
    <col min="15" max="15" width="20"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7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1354243.4360330855</v>
      </c>
      <c r="P5" s="1"/>
      <c r="R5" s="1"/>
      <c r="S5" s="1"/>
      <c r="T5" s="1"/>
      <c r="U5" s="1"/>
    </row>
    <row r="6" spans="1:21" ht="15.75">
      <c r="C6" s="8"/>
      <c r="D6" s="2"/>
      <c r="E6" s="1"/>
      <c r="F6" s="1"/>
      <c r="G6" s="1"/>
      <c r="H6" s="119"/>
      <c r="I6" s="119"/>
      <c r="J6" s="120"/>
      <c r="K6" s="121" t="s">
        <v>243</v>
      </c>
      <c r="L6" s="122"/>
      <c r="M6" s="4"/>
      <c r="N6" s="123">
        <f>VLOOKUP(I10,C17:I73,6)</f>
        <v>1354243.4360330855</v>
      </c>
      <c r="O6" s="1"/>
      <c r="P6" s="1"/>
      <c r="R6" s="1"/>
      <c r="S6" s="1"/>
      <c r="T6" s="1"/>
      <c r="U6" s="1"/>
    </row>
    <row r="7" spans="1:21" ht="13.5" thickBot="1">
      <c r="C7" s="124" t="s">
        <v>46</v>
      </c>
      <c r="D7" s="258" t="s">
        <v>214</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C9" s="130" t="s">
        <v>48</v>
      </c>
      <c r="D9" s="224" t="s">
        <v>213</v>
      </c>
      <c r="E9" s="131"/>
      <c r="F9" s="131"/>
      <c r="G9" s="131"/>
      <c r="H9" s="131"/>
      <c r="I9" s="132"/>
      <c r="J9" s="133"/>
      <c r="O9" s="134"/>
      <c r="P9" s="4"/>
      <c r="R9" s="1"/>
      <c r="S9" s="1"/>
      <c r="T9" s="1"/>
      <c r="U9" s="1"/>
    </row>
    <row r="10" spans="1:21">
      <c r="C10" s="135" t="s">
        <v>49</v>
      </c>
      <c r="D10" s="136">
        <v>10218098</v>
      </c>
      <c r="E10" s="63" t="s">
        <v>50</v>
      </c>
      <c r="F10" s="134"/>
      <c r="G10" s="137"/>
      <c r="H10" s="137"/>
      <c r="I10" s="138">
        <f>+OKT.WS.F.BPU.ATRR.Projected!R100</f>
        <v>2018</v>
      </c>
      <c r="J10" s="133"/>
      <c r="K10" s="112" t="s">
        <v>51</v>
      </c>
      <c r="O10" s="4"/>
      <c r="P10" s="4"/>
      <c r="R10" s="1"/>
      <c r="S10" s="1"/>
      <c r="T10" s="1"/>
      <c r="U10" s="1"/>
    </row>
    <row r="11" spans="1:21">
      <c r="C11" s="139" t="s">
        <v>52</v>
      </c>
      <c r="D11" s="140">
        <v>2014</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10</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250594.58163414692</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155">
        <f>IF(D11= "","-",D11)</f>
        <v>2014</v>
      </c>
      <c r="D17" s="373">
        <v>10780000</v>
      </c>
      <c r="E17" s="374">
        <v>108783.19956647091</v>
      </c>
      <c r="F17" s="373">
        <v>10671216.80043353</v>
      </c>
      <c r="G17" s="374">
        <v>891533.50922396348</v>
      </c>
      <c r="H17" s="376">
        <v>891533.50922396348</v>
      </c>
      <c r="I17" s="158">
        <v>0</v>
      </c>
      <c r="J17" s="158"/>
      <c r="K17" s="318">
        <f>G17</f>
        <v>891533.50922396348</v>
      </c>
      <c r="L17" s="340">
        <f>IF(K17&lt;&gt;0,+G17-K17,0)</f>
        <v>0</v>
      </c>
      <c r="M17" s="318">
        <f>H17</f>
        <v>891533.50922396348</v>
      </c>
      <c r="N17" s="159">
        <f>IF(M17&lt;&gt;0,+H17-M17,0)</f>
        <v>0</v>
      </c>
      <c r="O17" s="160">
        <f>+N17-L17</f>
        <v>0</v>
      </c>
      <c r="P17" s="4"/>
      <c r="R17" s="1"/>
      <c r="S17" s="1"/>
      <c r="T17" s="1"/>
      <c r="U17" s="1"/>
    </row>
    <row r="18" spans="2:21">
      <c r="B18" t="str">
        <f t="shared" si="0"/>
        <v/>
      </c>
      <c r="C18" s="155">
        <f>IF(D11="","-",+C17+1)</f>
        <v>2015</v>
      </c>
      <c r="D18" s="373">
        <v>10671216.80043353</v>
      </c>
      <c r="E18" s="375">
        <v>177316.90361351607</v>
      </c>
      <c r="F18" s="373">
        <v>10493899.896820014</v>
      </c>
      <c r="G18" s="375">
        <v>1258875.2944357994</v>
      </c>
      <c r="H18" s="376">
        <v>1258875.2944357994</v>
      </c>
      <c r="I18" s="158">
        <v>0</v>
      </c>
      <c r="J18" s="158"/>
      <c r="K18" s="344">
        <f>G18</f>
        <v>1258875.2944357994</v>
      </c>
      <c r="L18" s="345">
        <f>IF(K18&lt;&gt;0,+G18-K18,0)</f>
        <v>0</v>
      </c>
      <c r="M18" s="344">
        <f>H18</f>
        <v>1258875.2944357994</v>
      </c>
      <c r="N18" s="160">
        <f>IF(M18&lt;&gt;0,+H18-M18,0)</f>
        <v>0</v>
      </c>
      <c r="O18" s="160">
        <f>+N18-L18</f>
        <v>0</v>
      </c>
      <c r="P18" s="4"/>
      <c r="R18" s="1"/>
      <c r="S18" s="1"/>
      <c r="T18" s="1"/>
      <c r="U18" s="1"/>
    </row>
    <row r="19" spans="2:21">
      <c r="B19" t="str">
        <f t="shared" si="0"/>
        <v>IU</v>
      </c>
      <c r="C19" s="155">
        <f>IF(D11="","-",+C18+1)</f>
        <v>2016</v>
      </c>
      <c r="D19" s="373">
        <v>9931637.8968200125</v>
      </c>
      <c r="E19" s="375">
        <v>212319.01830997164</v>
      </c>
      <c r="F19" s="373">
        <v>9719318.8785100412</v>
      </c>
      <c r="G19" s="375">
        <v>1260842.7357894429</v>
      </c>
      <c r="H19" s="376">
        <v>1260842.7357894429</v>
      </c>
      <c r="I19" s="158">
        <f>H19-G19</f>
        <v>0</v>
      </c>
      <c r="J19" s="158"/>
      <c r="K19" s="344">
        <f>G19</f>
        <v>1260842.7357894429</v>
      </c>
      <c r="L19" s="345">
        <f>IF(K19&lt;&gt;0,+G19-K19,0)</f>
        <v>0</v>
      </c>
      <c r="M19" s="344">
        <f>H19</f>
        <v>1260842.7357894429</v>
      </c>
      <c r="N19" s="160">
        <f t="shared" ref="N19:N73" si="1">IF(M19&lt;&gt;0,+H19-M19,0)</f>
        <v>0</v>
      </c>
      <c r="O19" s="160">
        <f t="shared" ref="O19:O73" si="2">+N19-L19</f>
        <v>0</v>
      </c>
      <c r="P19" s="4"/>
      <c r="R19" s="1"/>
      <c r="S19" s="1"/>
      <c r="T19" s="1"/>
      <c r="U19" s="1"/>
    </row>
    <row r="20" spans="2:21">
      <c r="B20" t="str">
        <f t="shared" si="0"/>
        <v>IU</v>
      </c>
      <c r="C20" s="155">
        <f>IF(D11="","-",+C19+1)</f>
        <v>2017</v>
      </c>
      <c r="D20" s="373">
        <v>9719678.8785100412</v>
      </c>
      <c r="E20" s="375">
        <v>200908.03630390498</v>
      </c>
      <c r="F20" s="373">
        <v>9518770.8422061354</v>
      </c>
      <c r="G20" s="375">
        <v>1258445.35153371</v>
      </c>
      <c r="H20" s="376">
        <v>1258445.35153371</v>
      </c>
      <c r="I20" s="158">
        <f t="shared" ref="I20:I73" si="3">H20-G20</f>
        <v>0</v>
      </c>
      <c r="J20" s="158"/>
      <c r="K20" s="344">
        <f>G20</f>
        <v>1258445.35153371</v>
      </c>
      <c r="L20" s="345">
        <f>IF(K20&lt;&gt;0,+G20-K20,0)</f>
        <v>0</v>
      </c>
      <c r="M20" s="344">
        <f>H20</f>
        <v>1258445.35153371</v>
      </c>
      <c r="N20" s="160">
        <f>IF(M20&lt;&gt;0,+H20-M20,0)</f>
        <v>0</v>
      </c>
      <c r="O20" s="160">
        <f>+N20-L20</f>
        <v>0</v>
      </c>
      <c r="P20" s="4"/>
      <c r="R20" s="1"/>
      <c r="S20" s="1"/>
      <c r="T20" s="1"/>
      <c r="U20" s="1"/>
    </row>
    <row r="21" spans="2:21">
      <c r="B21" t="str">
        <f t="shared" si="0"/>
        <v/>
      </c>
      <c r="C21" s="155">
        <f>IF(D11="","-",+C20+1)</f>
        <v>2018</v>
      </c>
      <c r="D21" s="373">
        <v>9518770.8422061354</v>
      </c>
      <c r="E21" s="375">
        <v>250594.58163414692</v>
      </c>
      <c r="F21" s="373">
        <v>9268176.2605719883</v>
      </c>
      <c r="G21" s="375">
        <v>1354243.4360330855</v>
      </c>
      <c r="H21" s="376">
        <v>1354243.4360330855</v>
      </c>
      <c r="I21" s="158">
        <v>0</v>
      </c>
      <c r="J21" s="158"/>
      <c r="K21" s="344">
        <f>G21</f>
        <v>1354243.4360330855</v>
      </c>
      <c r="L21" s="345">
        <f>IF(K21&lt;&gt;0,+G21-K21,0)</f>
        <v>0</v>
      </c>
      <c r="M21" s="344">
        <f>H21</f>
        <v>1354243.4360330855</v>
      </c>
      <c r="N21" s="160">
        <f>IF(M21&lt;&gt;0,+H21-M21,0)</f>
        <v>0</v>
      </c>
      <c r="O21" s="160">
        <f>+N21-L21</f>
        <v>0</v>
      </c>
      <c r="P21" s="4"/>
      <c r="R21" s="1"/>
      <c r="S21" s="1"/>
      <c r="T21" s="1"/>
      <c r="U21" s="1"/>
    </row>
    <row r="22" spans="2:21">
      <c r="B22" t="str">
        <f t="shared" si="0"/>
        <v/>
      </c>
      <c r="C22" s="155">
        <f>IF(D11="","-",+C21+1)</f>
        <v>2019</v>
      </c>
      <c r="D22" s="164">
        <f>IF(F21+SUM(E$17:E21)=D$10,F21,D$10-SUM(E$17:E21))</f>
        <v>9268176.2605719883</v>
      </c>
      <c r="E22" s="162">
        <f t="shared" ref="E22:E73" si="4">IF(+$I$14&lt;F21,$I$14,D22)</f>
        <v>250594.58163414692</v>
      </c>
      <c r="F22" s="161">
        <f t="shared" ref="F22:F73" si="5">+D22-E22</f>
        <v>9017581.6789378412</v>
      </c>
      <c r="G22" s="163">
        <f t="shared" ref="G22:G73" si="6">(D22+F22)/2*I$12+E22</f>
        <v>1324800.821282953</v>
      </c>
      <c r="H22" s="145">
        <f t="shared" ref="H22:H73" si="7">+(D22+F22)/2*I$13+E22</f>
        <v>1324800.821282953</v>
      </c>
      <c r="I22" s="158">
        <f t="shared" si="3"/>
        <v>0</v>
      </c>
      <c r="J22" s="158"/>
      <c r="K22" s="316"/>
      <c r="L22" s="160">
        <f t="shared" ref="L22:L73" si="8">IF(K22&lt;&gt;0,+G22-K22,0)</f>
        <v>0</v>
      </c>
      <c r="M22" s="316"/>
      <c r="N22" s="160">
        <f t="shared" si="1"/>
        <v>0</v>
      </c>
      <c r="O22" s="160">
        <f t="shared" si="2"/>
        <v>0</v>
      </c>
      <c r="P22" s="4"/>
      <c r="R22" s="1"/>
      <c r="S22" s="1"/>
      <c r="T22" s="1"/>
      <c r="U22" s="1"/>
    </row>
    <row r="23" spans="2:21">
      <c r="B23" t="str">
        <f t="shared" si="0"/>
        <v/>
      </c>
      <c r="C23" s="155">
        <f>IF(D11="","-",+C22+1)</f>
        <v>2020</v>
      </c>
      <c r="D23" s="164">
        <f>IF(F22+SUM(E$17:E22)=D$10,F22,D$10-SUM(E$17:E22))</f>
        <v>9017581.6789378412</v>
      </c>
      <c r="E23" s="162">
        <f t="shared" si="4"/>
        <v>250594.58163414692</v>
      </c>
      <c r="F23" s="161">
        <f t="shared" si="5"/>
        <v>8766987.0973036941</v>
      </c>
      <c r="G23" s="163">
        <f t="shared" si="6"/>
        <v>1295358.2065328204</v>
      </c>
      <c r="H23" s="145">
        <f t="shared" si="7"/>
        <v>1295358.2065328204</v>
      </c>
      <c r="I23" s="158">
        <f t="shared" si="3"/>
        <v>0</v>
      </c>
      <c r="J23" s="158"/>
      <c r="K23" s="316"/>
      <c r="L23" s="160">
        <f t="shared" si="8"/>
        <v>0</v>
      </c>
      <c r="M23" s="316"/>
      <c r="N23" s="160">
        <f t="shared" si="1"/>
        <v>0</v>
      </c>
      <c r="O23" s="160">
        <f t="shared" si="2"/>
        <v>0</v>
      </c>
      <c r="P23" s="4"/>
      <c r="R23" s="1"/>
      <c r="S23" s="1"/>
      <c r="T23" s="1"/>
      <c r="U23" s="1"/>
    </row>
    <row r="24" spans="2:21">
      <c r="B24" t="str">
        <f t="shared" si="0"/>
        <v/>
      </c>
      <c r="C24" s="155">
        <f>IF(D11="","-",+C23+1)</f>
        <v>2021</v>
      </c>
      <c r="D24" s="164">
        <f>IF(F23+SUM(E$17:E23)=D$10,F23,D$10-SUM(E$17:E23))</f>
        <v>8766987.0973036941</v>
      </c>
      <c r="E24" s="162">
        <f t="shared" si="4"/>
        <v>250594.58163414692</v>
      </c>
      <c r="F24" s="161">
        <f t="shared" si="5"/>
        <v>8516392.515669547</v>
      </c>
      <c r="G24" s="163">
        <f t="shared" si="6"/>
        <v>1265915.5917826879</v>
      </c>
      <c r="H24" s="145">
        <f t="shared" si="7"/>
        <v>1265915.5917826879</v>
      </c>
      <c r="I24" s="158">
        <f t="shared" si="3"/>
        <v>0</v>
      </c>
      <c r="J24" s="158"/>
      <c r="K24" s="316"/>
      <c r="L24" s="160">
        <f t="shared" si="8"/>
        <v>0</v>
      </c>
      <c r="M24" s="316"/>
      <c r="N24" s="160">
        <f t="shared" si="1"/>
        <v>0</v>
      </c>
      <c r="O24" s="160">
        <f t="shared" si="2"/>
        <v>0</v>
      </c>
      <c r="P24" s="4"/>
      <c r="R24" s="1"/>
      <c r="S24" s="1"/>
      <c r="T24" s="1"/>
      <c r="U24" s="1"/>
    </row>
    <row r="25" spans="2:21">
      <c r="B25" t="str">
        <f t="shared" si="0"/>
        <v/>
      </c>
      <c r="C25" s="155">
        <f>IF(D11="","-",+C24+1)</f>
        <v>2022</v>
      </c>
      <c r="D25" s="164">
        <f>IF(F24+SUM(E$17:E24)=D$10,F24,D$10-SUM(E$17:E24))</f>
        <v>8516392.515669547</v>
      </c>
      <c r="E25" s="162">
        <f t="shared" si="4"/>
        <v>250594.58163414692</v>
      </c>
      <c r="F25" s="161">
        <f t="shared" si="5"/>
        <v>8265797.9340353999</v>
      </c>
      <c r="G25" s="163">
        <f t="shared" si="6"/>
        <v>1236472.9770325553</v>
      </c>
      <c r="H25" s="145">
        <f t="shared" si="7"/>
        <v>1236472.9770325553</v>
      </c>
      <c r="I25" s="158">
        <f t="shared" si="3"/>
        <v>0</v>
      </c>
      <c r="J25" s="158"/>
      <c r="K25" s="316"/>
      <c r="L25" s="160">
        <f t="shared" si="8"/>
        <v>0</v>
      </c>
      <c r="M25" s="316"/>
      <c r="N25" s="160">
        <f t="shared" si="1"/>
        <v>0</v>
      </c>
      <c r="O25" s="160">
        <f t="shared" si="2"/>
        <v>0</v>
      </c>
      <c r="P25" s="4"/>
      <c r="R25" s="1"/>
      <c r="S25" s="1"/>
      <c r="T25" s="1"/>
      <c r="U25" s="1"/>
    </row>
    <row r="26" spans="2:21">
      <c r="B26" t="str">
        <f t="shared" si="0"/>
        <v/>
      </c>
      <c r="C26" s="155">
        <f>IF(D11="","-",+C25+1)</f>
        <v>2023</v>
      </c>
      <c r="D26" s="164">
        <f>IF(F25+SUM(E$17:E25)=D$10,F25,D$10-SUM(E$17:E25))</f>
        <v>8265797.9340353999</v>
      </c>
      <c r="E26" s="162">
        <f t="shared" si="4"/>
        <v>250594.58163414692</v>
      </c>
      <c r="F26" s="161">
        <f t="shared" si="5"/>
        <v>8015203.3524012528</v>
      </c>
      <c r="G26" s="163">
        <f t="shared" si="6"/>
        <v>1207030.3622824228</v>
      </c>
      <c r="H26" s="145">
        <f t="shared" si="7"/>
        <v>1207030.3622824228</v>
      </c>
      <c r="I26" s="158">
        <f t="shared" si="3"/>
        <v>0</v>
      </c>
      <c r="J26" s="158"/>
      <c r="K26" s="316"/>
      <c r="L26" s="160">
        <f t="shared" si="8"/>
        <v>0</v>
      </c>
      <c r="M26" s="316"/>
      <c r="N26" s="160">
        <f t="shared" si="1"/>
        <v>0</v>
      </c>
      <c r="O26" s="160">
        <f t="shared" si="2"/>
        <v>0</v>
      </c>
      <c r="P26" s="4"/>
      <c r="R26" s="1"/>
      <c r="S26" s="1"/>
      <c r="T26" s="1"/>
      <c r="U26" s="1"/>
    </row>
    <row r="27" spans="2:21">
      <c r="B27" t="str">
        <f t="shared" si="0"/>
        <v/>
      </c>
      <c r="C27" s="155">
        <f>IF(D11="","-",+C26+1)</f>
        <v>2024</v>
      </c>
      <c r="D27" s="164">
        <f>IF(F26+SUM(E$17:E26)=D$10,F26,D$10-SUM(E$17:E26))</f>
        <v>8015203.3524012528</v>
      </c>
      <c r="E27" s="162">
        <f t="shared" si="4"/>
        <v>250594.58163414692</v>
      </c>
      <c r="F27" s="161">
        <f t="shared" si="5"/>
        <v>7764608.7707671057</v>
      </c>
      <c r="G27" s="163">
        <f t="shared" si="6"/>
        <v>1177587.7475322902</v>
      </c>
      <c r="H27" s="145">
        <f t="shared" si="7"/>
        <v>1177587.7475322902</v>
      </c>
      <c r="I27" s="158">
        <f t="shared" si="3"/>
        <v>0</v>
      </c>
      <c r="J27" s="158"/>
      <c r="K27" s="316"/>
      <c r="L27" s="160">
        <f t="shared" si="8"/>
        <v>0</v>
      </c>
      <c r="M27" s="316"/>
      <c r="N27" s="160">
        <f t="shared" si="1"/>
        <v>0</v>
      </c>
      <c r="O27" s="160">
        <f t="shared" si="2"/>
        <v>0</v>
      </c>
      <c r="P27" s="4"/>
      <c r="R27" s="1"/>
      <c r="S27" s="1"/>
      <c r="T27" s="1"/>
      <c r="U27" s="1"/>
    </row>
    <row r="28" spans="2:21">
      <c r="B28" t="str">
        <f t="shared" si="0"/>
        <v/>
      </c>
      <c r="C28" s="155">
        <f>IF(D11="","-",+C27+1)</f>
        <v>2025</v>
      </c>
      <c r="D28" s="164">
        <f>IF(F27+SUM(E$17:E27)=D$10,F27,D$10-SUM(E$17:E27))</f>
        <v>7764608.7707671057</v>
      </c>
      <c r="E28" s="162">
        <f t="shared" si="4"/>
        <v>250594.58163414692</v>
      </c>
      <c r="F28" s="161">
        <f t="shared" si="5"/>
        <v>7514014.1891329587</v>
      </c>
      <c r="G28" s="163">
        <f t="shared" si="6"/>
        <v>1148145.1327821575</v>
      </c>
      <c r="H28" s="145">
        <f t="shared" si="7"/>
        <v>1148145.1327821575</v>
      </c>
      <c r="I28" s="158">
        <f t="shared" si="3"/>
        <v>0</v>
      </c>
      <c r="J28" s="158"/>
      <c r="K28" s="316"/>
      <c r="L28" s="160">
        <f t="shared" si="8"/>
        <v>0</v>
      </c>
      <c r="M28" s="316"/>
      <c r="N28" s="160">
        <f t="shared" si="1"/>
        <v>0</v>
      </c>
      <c r="O28" s="160">
        <f t="shared" si="2"/>
        <v>0</v>
      </c>
      <c r="P28" s="4"/>
      <c r="R28" s="1"/>
      <c r="S28" s="1"/>
      <c r="T28" s="1"/>
      <c r="U28" s="1"/>
    </row>
    <row r="29" spans="2:21">
      <c r="B29" t="str">
        <f t="shared" si="0"/>
        <v/>
      </c>
      <c r="C29" s="155">
        <f>IF(D11="","-",+C28+1)</f>
        <v>2026</v>
      </c>
      <c r="D29" s="164">
        <f>IF(F28+SUM(E$17:E28)=D$10,F28,D$10-SUM(E$17:E28))</f>
        <v>7514014.1891329587</v>
      </c>
      <c r="E29" s="162">
        <f t="shared" si="4"/>
        <v>250594.58163414692</v>
      </c>
      <c r="F29" s="161">
        <f t="shared" si="5"/>
        <v>7263419.6074988116</v>
      </c>
      <c r="G29" s="163">
        <f t="shared" si="6"/>
        <v>1118702.5180320251</v>
      </c>
      <c r="H29" s="145">
        <f t="shared" si="7"/>
        <v>1118702.5180320251</v>
      </c>
      <c r="I29" s="158">
        <f t="shared" si="3"/>
        <v>0</v>
      </c>
      <c r="J29" s="158"/>
      <c r="K29" s="316"/>
      <c r="L29" s="160">
        <f t="shared" si="8"/>
        <v>0</v>
      </c>
      <c r="M29" s="316"/>
      <c r="N29" s="160">
        <f t="shared" si="1"/>
        <v>0</v>
      </c>
      <c r="O29" s="160">
        <f t="shared" si="2"/>
        <v>0</v>
      </c>
      <c r="P29" s="4"/>
      <c r="R29" s="1"/>
      <c r="S29" s="1"/>
      <c r="T29" s="1"/>
      <c r="U29" s="1"/>
    </row>
    <row r="30" spans="2:21">
      <c r="B30" t="str">
        <f t="shared" si="0"/>
        <v/>
      </c>
      <c r="C30" s="155">
        <f>IF(D11="","-",+C29+1)</f>
        <v>2027</v>
      </c>
      <c r="D30" s="164">
        <f>IF(F29+SUM(E$17:E29)=D$10,F29,D$10-SUM(E$17:E29))</f>
        <v>7263419.6074988116</v>
      </c>
      <c r="E30" s="162">
        <f t="shared" si="4"/>
        <v>250594.58163414692</v>
      </c>
      <c r="F30" s="161">
        <f t="shared" si="5"/>
        <v>7012825.0258646645</v>
      </c>
      <c r="G30" s="163">
        <f t="shared" si="6"/>
        <v>1089259.9032818924</v>
      </c>
      <c r="H30" s="145">
        <f t="shared" si="7"/>
        <v>1089259.9032818924</v>
      </c>
      <c r="I30" s="158">
        <f t="shared" si="3"/>
        <v>0</v>
      </c>
      <c r="J30" s="158"/>
      <c r="K30" s="316"/>
      <c r="L30" s="160">
        <f t="shared" si="8"/>
        <v>0</v>
      </c>
      <c r="M30" s="316"/>
      <c r="N30" s="160">
        <f t="shared" si="1"/>
        <v>0</v>
      </c>
      <c r="O30" s="160">
        <f t="shared" si="2"/>
        <v>0</v>
      </c>
      <c r="P30" s="4"/>
      <c r="R30" s="1"/>
      <c r="S30" s="1"/>
      <c r="T30" s="1"/>
      <c r="U30" s="1"/>
    </row>
    <row r="31" spans="2:21">
      <c r="B31" t="str">
        <f t="shared" si="0"/>
        <v/>
      </c>
      <c r="C31" s="155">
        <f>IF(D11="","-",+C30+1)</f>
        <v>2028</v>
      </c>
      <c r="D31" s="164">
        <f>IF(F30+SUM(E$17:E30)=D$10,F30,D$10-SUM(E$17:E30))</f>
        <v>7012825.0258646645</v>
      </c>
      <c r="E31" s="162">
        <f t="shared" si="4"/>
        <v>250594.58163414692</v>
      </c>
      <c r="F31" s="161">
        <f t="shared" si="5"/>
        <v>6762230.4442305174</v>
      </c>
      <c r="G31" s="163">
        <f t="shared" si="6"/>
        <v>1059817.28853176</v>
      </c>
      <c r="H31" s="145">
        <f t="shared" si="7"/>
        <v>1059817.28853176</v>
      </c>
      <c r="I31" s="158">
        <f t="shared" si="3"/>
        <v>0</v>
      </c>
      <c r="J31" s="158"/>
      <c r="K31" s="316"/>
      <c r="L31" s="160">
        <f t="shared" si="8"/>
        <v>0</v>
      </c>
      <c r="M31" s="316"/>
      <c r="N31" s="160">
        <f t="shared" si="1"/>
        <v>0</v>
      </c>
      <c r="O31" s="160">
        <f t="shared" si="2"/>
        <v>0</v>
      </c>
      <c r="P31" s="4"/>
      <c r="Q31" s="7"/>
      <c r="R31" s="4"/>
      <c r="S31" s="4"/>
      <c r="T31" s="4"/>
      <c r="U31" s="1"/>
    </row>
    <row r="32" spans="2:21">
      <c r="B32" t="str">
        <f t="shared" si="0"/>
        <v/>
      </c>
      <c r="C32" s="155">
        <f>IF(D12="","-",+C31+1)</f>
        <v>2029</v>
      </c>
      <c r="D32" s="164">
        <f>IF(F31+SUM(E$17:E31)=D$10,F31,D$10-SUM(E$17:E31))</f>
        <v>6762230.4442305174</v>
      </c>
      <c r="E32" s="162">
        <f>IF(+$I$14&lt;F31,$I$14,D32)</f>
        <v>250594.58163414692</v>
      </c>
      <c r="F32" s="161">
        <f>+D32-E32</f>
        <v>6511635.8625963703</v>
      </c>
      <c r="G32" s="163">
        <f t="shared" si="6"/>
        <v>1030374.6737816273</v>
      </c>
      <c r="H32" s="145">
        <f t="shared" si="7"/>
        <v>1030374.6737816273</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2030</v>
      </c>
      <c r="D33" s="437">
        <f>IF(F32+SUM(E$17:E32)=D$10,F32,D$10-SUM(E$17:E32))</f>
        <v>6511635.8625963703</v>
      </c>
      <c r="E33" s="162">
        <f>IF(+$I$14&lt;F31,$I$14,D33)</f>
        <v>250594.58163414692</v>
      </c>
      <c r="F33" s="161">
        <f t="shared" si="5"/>
        <v>6261041.2809622232</v>
      </c>
      <c r="G33" s="163">
        <f t="shared" si="6"/>
        <v>1000932.0590314947</v>
      </c>
      <c r="H33" s="145">
        <f t="shared" si="7"/>
        <v>1000932.0590314947</v>
      </c>
      <c r="I33" s="158">
        <f t="shared" si="3"/>
        <v>0</v>
      </c>
      <c r="J33" s="158"/>
      <c r="K33" s="316"/>
      <c r="L33" s="160">
        <f t="shared" si="8"/>
        <v>0</v>
      </c>
      <c r="M33" s="316"/>
      <c r="N33" s="160">
        <f t="shared" si="1"/>
        <v>0</v>
      </c>
      <c r="O33" s="160">
        <f t="shared" si="2"/>
        <v>0</v>
      </c>
      <c r="P33" s="4"/>
      <c r="R33" s="1"/>
      <c r="S33" s="1"/>
      <c r="T33" s="1"/>
      <c r="U33" s="1"/>
    </row>
    <row r="34" spans="2:21">
      <c r="B34" t="str">
        <f t="shared" si="0"/>
        <v/>
      </c>
      <c r="C34" s="422">
        <f>IF(D11="","-",+C33+1)</f>
        <v>2031</v>
      </c>
      <c r="D34" s="437">
        <f>IF(F33+SUM(E$17:E33)=D$10,F33,D$10-SUM(E$17:E33))</f>
        <v>6261041.2809622232</v>
      </c>
      <c r="E34" s="424">
        <f t="shared" si="4"/>
        <v>250594.58163414692</v>
      </c>
      <c r="F34" s="423">
        <f t="shared" si="5"/>
        <v>6010446.6993280761</v>
      </c>
      <c r="G34" s="425">
        <f t="shared" si="6"/>
        <v>971489.44428136223</v>
      </c>
      <c r="H34" s="426">
        <f t="shared" si="7"/>
        <v>971489.44428136223</v>
      </c>
      <c r="I34" s="427">
        <f t="shared" si="3"/>
        <v>0</v>
      </c>
      <c r="J34" s="427"/>
      <c r="K34" s="428"/>
      <c r="L34" s="429">
        <f t="shared" si="8"/>
        <v>0</v>
      </c>
      <c r="M34" s="428"/>
      <c r="N34" s="429">
        <f t="shared" si="1"/>
        <v>0</v>
      </c>
      <c r="O34" s="429">
        <f t="shared" si="2"/>
        <v>0</v>
      </c>
      <c r="P34" s="430"/>
      <c r="Q34" s="290"/>
      <c r="R34" s="430"/>
      <c r="S34" s="430"/>
      <c r="T34" s="430"/>
      <c r="U34" s="1"/>
    </row>
    <row r="35" spans="2:21">
      <c r="B35" t="str">
        <f t="shared" si="0"/>
        <v/>
      </c>
      <c r="C35" s="155">
        <f>IF(D11="","-",+C34+1)</f>
        <v>2032</v>
      </c>
      <c r="D35" s="164">
        <f>IF(F34+SUM(E$17:E34)=D$10,F34,D$10-SUM(E$17:E34))</f>
        <v>6010446.6993280761</v>
      </c>
      <c r="E35" s="162">
        <f t="shared" si="4"/>
        <v>250594.58163414692</v>
      </c>
      <c r="F35" s="161">
        <f t="shared" si="5"/>
        <v>5759852.117693929</v>
      </c>
      <c r="G35" s="163">
        <f t="shared" si="6"/>
        <v>942046.82953122957</v>
      </c>
      <c r="H35" s="145">
        <f t="shared" si="7"/>
        <v>942046.82953122957</v>
      </c>
      <c r="I35" s="158">
        <f t="shared" si="3"/>
        <v>0</v>
      </c>
      <c r="J35" s="158"/>
      <c r="K35" s="316"/>
      <c r="L35" s="160">
        <f t="shared" si="8"/>
        <v>0</v>
      </c>
      <c r="M35" s="316"/>
      <c r="N35" s="160">
        <f t="shared" si="1"/>
        <v>0</v>
      </c>
      <c r="O35" s="160">
        <f t="shared" si="2"/>
        <v>0</v>
      </c>
      <c r="P35" s="4"/>
      <c r="R35" s="1"/>
      <c r="S35" s="1"/>
      <c r="T35" s="1"/>
      <c r="U35" s="1"/>
    </row>
    <row r="36" spans="2:21">
      <c r="B36" t="str">
        <f t="shared" si="0"/>
        <v/>
      </c>
      <c r="C36" s="155">
        <f>IF(D11="","-",+C35+1)</f>
        <v>2033</v>
      </c>
      <c r="D36" s="164">
        <f>IF(F35+SUM(E$17:E35)=D$10,F35,D$10-SUM(E$17:E35))</f>
        <v>5759852.117693929</v>
      </c>
      <c r="E36" s="162">
        <f t="shared" si="4"/>
        <v>250594.58163414692</v>
      </c>
      <c r="F36" s="161">
        <f t="shared" si="5"/>
        <v>5509257.5360597819</v>
      </c>
      <c r="G36" s="163">
        <f t="shared" si="6"/>
        <v>912604.21478109714</v>
      </c>
      <c r="H36" s="145">
        <f t="shared" si="7"/>
        <v>912604.21478109714</v>
      </c>
      <c r="I36" s="158">
        <f t="shared" si="3"/>
        <v>0</v>
      </c>
      <c r="J36" s="158"/>
      <c r="K36" s="316"/>
      <c r="L36" s="160">
        <f t="shared" si="8"/>
        <v>0</v>
      </c>
      <c r="M36" s="316"/>
      <c r="N36" s="160">
        <f t="shared" si="1"/>
        <v>0</v>
      </c>
      <c r="O36" s="160">
        <f t="shared" si="2"/>
        <v>0</v>
      </c>
      <c r="P36" s="4"/>
      <c r="R36" s="1"/>
      <c r="S36" s="1"/>
      <c r="T36" s="1"/>
      <c r="U36" s="1"/>
    </row>
    <row r="37" spans="2:21">
      <c r="B37" t="str">
        <f t="shared" si="0"/>
        <v/>
      </c>
      <c r="C37" s="155">
        <f>IF(D11="","-",+C36+1)</f>
        <v>2034</v>
      </c>
      <c r="D37" s="164">
        <f>IF(F36+SUM(E$17:E36)=D$10,F36,D$10-SUM(E$17:E36))</f>
        <v>5509257.5360597819</v>
      </c>
      <c r="E37" s="162">
        <f t="shared" si="4"/>
        <v>250594.58163414692</v>
      </c>
      <c r="F37" s="161">
        <f t="shared" si="5"/>
        <v>5258662.9544256348</v>
      </c>
      <c r="G37" s="163">
        <f t="shared" si="6"/>
        <v>883161.60003096447</v>
      </c>
      <c r="H37" s="145">
        <f t="shared" si="7"/>
        <v>883161.60003096447</v>
      </c>
      <c r="I37" s="158">
        <f t="shared" si="3"/>
        <v>0</v>
      </c>
      <c r="J37" s="158"/>
      <c r="K37" s="316"/>
      <c r="L37" s="160">
        <f t="shared" si="8"/>
        <v>0</v>
      </c>
      <c r="M37" s="316"/>
      <c r="N37" s="160">
        <f t="shared" si="1"/>
        <v>0</v>
      </c>
      <c r="O37" s="160">
        <f t="shared" si="2"/>
        <v>0</v>
      </c>
      <c r="P37" s="4"/>
      <c r="R37" s="1"/>
      <c r="S37" s="1"/>
      <c r="T37" s="1"/>
      <c r="U37" s="1"/>
    </row>
    <row r="38" spans="2:21">
      <c r="B38" t="str">
        <f t="shared" si="0"/>
        <v/>
      </c>
      <c r="C38" s="155">
        <f>IF(D11="","-",+C37+1)</f>
        <v>2035</v>
      </c>
      <c r="D38" s="164">
        <f>IF(F37+SUM(E$17:E37)=D$10,F37,D$10-SUM(E$17:E37))</f>
        <v>5258662.9544256348</v>
      </c>
      <c r="E38" s="162">
        <f t="shared" si="4"/>
        <v>250594.58163414692</v>
      </c>
      <c r="F38" s="161">
        <f t="shared" si="5"/>
        <v>5008068.3727914877</v>
      </c>
      <c r="G38" s="163">
        <f t="shared" si="6"/>
        <v>853718.98528083181</v>
      </c>
      <c r="H38" s="145">
        <f t="shared" si="7"/>
        <v>853718.98528083181</v>
      </c>
      <c r="I38" s="158">
        <f t="shared" si="3"/>
        <v>0</v>
      </c>
      <c r="J38" s="158"/>
      <c r="K38" s="316"/>
      <c r="L38" s="160">
        <f t="shared" si="8"/>
        <v>0</v>
      </c>
      <c r="M38" s="316"/>
      <c r="N38" s="160">
        <f t="shared" si="1"/>
        <v>0</v>
      </c>
      <c r="O38" s="160">
        <f t="shared" si="2"/>
        <v>0</v>
      </c>
      <c r="P38" s="4"/>
      <c r="R38" s="1"/>
      <c r="S38" s="1"/>
      <c r="T38" s="1"/>
      <c r="U38" s="1"/>
    </row>
    <row r="39" spans="2:21">
      <c r="B39" t="str">
        <f t="shared" si="0"/>
        <v/>
      </c>
      <c r="C39" s="155">
        <f>IF(D11="","-",+C38+1)</f>
        <v>2036</v>
      </c>
      <c r="D39" s="164">
        <f>IF(F38+SUM(E$17:E38)=D$10,F38,D$10-SUM(E$17:E38))</f>
        <v>5008068.3727914877</v>
      </c>
      <c r="E39" s="162">
        <f t="shared" si="4"/>
        <v>250594.58163414692</v>
      </c>
      <c r="F39" s="161">
        <f t="shared" si="5"/>
        <v>4757473.7911573406</v>
      </c>
      <c r="G39" s="163">
        <f t="shared" si="6"/>
        <v>824276.37053069938</v>
      </c>
      <c r="H39" s="145">
        <f t="shared" si="7"/>
        <v>824276.37053069938</v>
      </c>
      <c r="I39" s="158">
        <f t="shared" si="3"/>
        <v>0</v>
      </c>
      <c r="J39" s="158"/>
      <c r="K39" s="316"/>
      <c r="L39" s="160">
        <f t="shared" si="8"/>
        <v>0</v>
      </c>
      <c r="M39" s="316"/>
      <c r="N39" s="160">
        <f t="shared" si="1"/>
        <v>0</v>
      </c>
      <c r="O39" s="160">
        <f t="shared" si="2"/>
        <v>0</v>
      </c>
      <c r="P39" s="4"/>
      <c r="R39" s="1"/>
      <c r="S39" s="1"/>
      <c r="T39" s="1"/>
      <c r="U39" s="1"/>
    </row>
    <row r="40" spans="2:21">
      <c r="B40" t="str">
        <f t="shared" si="0"/>
        <v/>
      </c>
      <c r="C40" s="155">
        <f>IF(D11="","-",+C39+1)</f>
        <v>2037</v>
      </c>
      <c r="D40" s="164">
        <f>IF(F39+SUM(E$17:E39)=D$10,F39,D$10-SUM(E$17:E39))</f>
        <v>4757473.7911573406</v>
      </c>
      <c r="E40" s="162">
        <f t="shared" si="4"/>
        <v>250594.58163414692</v>
      </c>
      <c r="F40" s="161">
        <f t="shared" si="5"/>
        <v>4506879.2095231935</v>
      </c>
      <c r="G40" s="163">
        <f t="shared" si="6"/>
        <v>794833.75578056672</v>
      </c>
      <c r="H40" s="145">
        <f t="shared" si="7"/>
        <v>794833.75578056672</v>
      </c>
      <c r="I40" s="158">
        <f t="shared" si="3"/>
        <v>0</v>
      </c>
      <c r="J40" s="158"/>
      <c r="K40" s="316"/>
      <c r="L40" s="160">
        <f t="shared" si="8"/>
        <v>0</v>
      </c>
      <c r="M40" s="316"/>
      <c r="N40" s="160">
        <f t="shared" si="1"/>
        <v>0</v>
      </c>
      <c r="O40" s="160">
        <f t="shared" si="2"/>
        <v>0</v>
      </c>
      <c r="P40" s="4"/>
      <c r="R40" s="1"/>
      <c r="S40" s="1"/>
      <c r="T40" s="1"/>
      <c r="U40" s="1"/>
    </row>
    <row r="41" spans="2:21">
      <c r="B41" t="str">
        <f t="shared" si="0"/>
        <v/>
      </c>
      <c r="C41" s="155">
        <f>IF(D12="","-",+C40+1)</f>
        <v>2038</v>
      </c>
      <c r="D41" s="164">
        <f>IF(F40+SUM(E$17:E40)=D$10,F40,D$10-SUM(E$17:E40))</f>
        <v>4506879.2095231935</v>
      </c>
      <c r="E41" s="162">
        <f t="shared" si="4"/>
        <v>250594.58163414692</v>
      </c>
      <c r="F41" s="161">
        <f t="shared" si="5"/>
        <v>4256284.6278890464</v>
      </c>
      <c r="G41" s="163">
        <f t="shared" si="6"/>
        <v>765391.14103043429</v>
      </c>
      <c r="H41" s="145">
        <f t="shared" si="7"/>
        <v>765391.14103043429</v>
      </c>
      <c r="I41" s="158">
        <f t="shared" si="3"/>
        <v>0</v>
      </c>
      <c r="J41" s="158"/>
      <c r="K41" s="316"/>
      <c r="L41" s="160">
        <f t="shared" si="8"/>
        <v>0</v>
      </c>
      <c r="M41" s="316"/>
      <c r="N41" s="160">
        <f t="shared" si="1"/>
        <v>0</v>
      </c>
      <c r="O41" s="160">
        <f t="shared" si="2"/>
        <v>0</v>
      </c>
      <c r="P41" s="4"/>
      <c r="R41" s="1"/>
      <c r="S41" s="1"/>
      <c r="T41" s="1"/>
      <c r="U41" s="1"/>
    </row>
    <row r="42" spans="2:21">
      <c r="B42" t="str">
        <f t="shared" si="0"/>
        <v/>
      </c>
      <c r="C42" s="155">
        <f>IF(D13="","-",+C41+1)</f>
        <v>2039</v>
      </c>
      <c r="D42" s="164">
        <f>IF(F41+SUM(E$17:E41)=D$10,F41,D$10-SUM(E$17:E41))</f>
        <v>4256284.6278890464</v>
      </c>
      <c r="E42" s="162">
        <f t="shared" si="4"/>
        <v>250594.58163414692</v>
      </c>
      <c r="F42" s="161">
        <f t="shared" si="5"/>
        <v>4005690.0462548994</v>
      </c>
      <c r="G42" s="163">
        <f t="shared" si="6"/>
        <v>735948.52628030162</v>
      </c>
      <c r="H42" s="145">
        <f t="shared" si="7"/>
        <v>735948.52628030162</v>
      </c>
      <c r="I42" s="158">
        <f t="shared" si="3"/>
        <v>0</v>
      </c>
      <c r="J42" s="158"/>
      <c r="K42" s="316"/>
      <c r="L42" s="160">
        <f t="shared" si="8"/>
        <v>0</v>
      </c>
      <c r="M42" s="316"/>
      <c r="N42" s="160">
        <f t="shared" si="1"/>
        <v>0</v>
      </c>
      <c r="O42" s="160">
        <f t="shared" si="2"/>
        <v>0</v>
      </c>
      <c r="P42" s="4"/>
      <c r="R42" s="1"/>
      <c r="S42" s="1"/>
      <c r="T42" s="1"/>
      <c r="U42" s="1"/>
    </row>
    <row r="43" spans="2:21">
      <c r="B43" t="str">
        <f t="shared" si="0"/>
        <v/>
      </c>
      <c r="C43" s="155">
        <f>IF(D11="","-",+C42+1)</f>
        <v>2040</v>
      </c>
      <c r="D43" s="164">
        <f>IF(F42+SUM(E$17:E42)=D$10,F42,D$10-SUM(E$17:E42))</f>
        <v>4005690.0462548994</v>
      </c>
      <c r="E43" s="162">
        <f t="shared" si="4"/>
        <v>250594.58163414692</v>
      </c>
      <c r="F43" s="161">
        <f t="shared" si="5"/>
        <v>3755095.4646207523</v>
      </c>
      <c r="G43" s="163">
        <f t="shared" si="6"/>
        <v>706505.91153016908</v>
      </c>
      <c r="H43" s="145">
        <f t="shared" si="7"/>
        <v>706505.91153016908</v>
      </c>
      <c r="I43" s="158">
        <f t="shared" si="3"/>
        <v>0</v>
      </c>
      <c r="J43" s="158"/>
      <c r="K43" s="316"/>
      <c r="L43" s="160">
        <f t="shared" si="8"/>
        <v>0</v>
      </c>
      <c r="M43" s="316"/>
      <c r="N43" s="160">
        <f t="shared" si="1"/>
        <v>0</v>
      </c>
      <c r="O43" s="160">
        <f t="shared" si="2"/>
        <v>0</v>
      </c>
      <c r="P43" s="4"/>
      <c r="R43" s="1"/>
      <c r="S43" s="1"/>
      <c r="T43" s="1"/>
      <c r="U43" s="1"/>
    </row>
    <row r="44" spans="2:21">
      <c r="B44" t="str">
        <f t="shared" si="0"/>
        <v/>
      </c>
      <c r="C44" s="155">
        <f>IF(D11="","-",+C43+1)</f>
        <v>2041</v>
      </c>
      <c r="D44" s="164">
        <f>IF(F43+SUM(E$17:E43)=D$10,F43,D$10-SUM(E$17:E43))</f>
        <v>3755095.4646207523</v>
      </c>
      <c r="E44" s="162">
        <f t="shared" si="4"/>
        <v>250594.58163414692</v>
      </c>
      <c r="F44" s="161">
        <f t="shared" si="5"/>
        <v>3504500.8829866052</v>
      </c>
      <c r="G44" s="163">
        <f t="shared" si="6"/>
        <v>677063.29678003653</v>
      </c>
      <c r="H44" s="145">
        <f t="shared" si="7"/>
        <v>677063.29678003653</v>
      </c>
      <c r="I44" s="158">
        <f t="shared" si="3"/>
        <v>0</v>
      </c>
      <c r="J44" s="158"/>
      <c r="K44" s="316"/>
      <c r="L44" s="160">
        <f t="shared" si="8"/>
        <v>0</v>
      </c>
      <c r="M44" s="316"/>
      <c r="N44" s="160">
        <f t="shared" si="1"/>
        <v>0</v>
      </c>
      <c r="O44" s="160">
        <f t="shared" si="2"/>
        <v>0</v>
      </c>
      <c r="P44" s="4"/>
      <c r="R44" s="1"/>
      <c r="S44" s="1"/>
      <c r="T44" s="1"/>
      <c r="U44" s="1"/>
    </row>
    <row r="45" spans="2:21">
      <c r="B45" t="str">
        <f t="shared" si="0"/>
        <v/>
      </c>
      <c r="C45" s="155">
        <f>IF(D11="","-",+C44+1)</f>
        <v>2042</v>
      </c>
      <c r="D45" s="164">
        <f>IF(F44+SUM(E$17:E44)=D$10,F44,D$10-SUM(E$17:E44))</f>
        <v>3504500.8829866052</v>
      </c>
      <c r="E45" s="162">
        <f t="shared" si="4"/>
        <v>250594.58163414692</v>
      </c>
      <c r="F45" s="161">
        <f t="shared" si="5"/>
        <v>3253906.3013524581</v>
      </c>
      <c r="G45" s="163">
        <f t="shared" si="6"/>
        <v>647620.68202990387</v>
      </c>
      <c r="H45" s="145">
        <f t="shared" si="7"/>
        <v>647620.68202990387</v>
      </c>
      <c r="I45" s="158">
        <f t="shared" si="3"/>
        <v>0</v>
      </c>
      <c r="J45" s="158"/>
      <c r="K45" s="316"/>
      <c r="L45" s="160">
        <f t="shared" si="8"/>
        <v>0</v>
      </c>
      <c r="M45" s="316"/>
      <c r="N45" s="160">
        <f t="shared" si="1"/>
        <v>0</v>
      </c>
      <c r="O45" s="160">
        <f t="shared" si="2"/>
        <v>0</v>
      </c>
      <c r="P45" s="4"/>
      <c r="R45" s="1"/>
      <c r="S45" s="1"/>
      <c r="T45" s="1"/>
      <c r="U45" s="1"/>
    </row>
    <row r="46" spans="2:21">
      <c r="B46" t="str">
        <f t="shared" si="0"/>
        <v/>
      </c>
      <c r="C46" s="155">
        <f>IF(D11="","-",+C45+1)</f>
        <v>2043</v>
      </c>
      <c r="D46" s="164">
        <f>IF(F45+SUM(E$17:E45)=D$10,F45,D$10-SUM(E$17:E45))</f>
        <v>3253906.3013524581</v>
      </c>
      <c r="E46" s="162">
        <f t="shared" si="4"/>
        <v>250594.58163414692</v>
      </c>
      <c r="F46" s="161">
        <f t="shared" si="5"/>
        <v>3003311.719718311</v>
      </c>
      <c r="G46" s="163">
        <f t="shared" si="6"/>
        <v>618178.06727977144</v>
      </c>
      <c r="H46" s="145">
        <f t="shared" si="7"/>
        <v>618178.06727977144</v>
      </c>
      <c r="I46" s="158">
        <f t="shared" si="3"/>
        <v>0</v>
      </c>
      <c r="J46" s="158"/>
      <c r="K46" s="316"/>
      <c r="L46" s="160">
        <f t="shared" si="8"/>
        <v>0</v>
      </c>
      <c r="M46" s="316"/>
      <c r="N46" s="160">
        <f t="shared" si="1"/>
        <v>0</v>
      </c>
      <c r="O46" s="160">
        <f t="shared" si="2"/>
        <v>0</v>
      </c>
      <c r="P46" s="4"/>
      <c r="R46" s="1"/>
      <c r="S46" s="1"/>
      <c r="T46" s="1"/>
      <c r="U46" s="1"/>
    </row>
    <row r="47" spans="2:21">
      <c r="B47" t="str">
        <f t="shared" si="0"/>
        <v/>
      </c>
      <c r="C47" s="155">
        <f>IF(D11="","-",+C46+1)</f>
        <v>2044</v>
      </c>
      <c r="D47" s="164">
        <f>IF(F46+SUM(E$17:E46)=D$10,F46,D$10-SUM(E$17:E46))</f>
        <v>3003311.719718311</v>
      </c>
      <c r="E47" s="162">
        <f t="shared" si="4"/>
        <v>250594.58163414692</v>
      </c>
      <c r="F47" s="161">
        <f t="shared" si="5"/>
        <v>2752717.1380841639</v>
      </c>
      <c r="G47" s="163">
        <f t="shared" si="6"/>
        <v>588735.45252963877</v>
      </c>
      <c r="H47" s="145">
        <f t="shared" si="7"/>
        <v>588735.45252963877</v>
      </c>
      <c r="I47" s="158">
        <f t="shared" si="3"/>
        <v>0</v>
      </c>
      <c r="J47" s="158"/>
      <c r="K47" s="316"/>
      <c r="L47" s="160">
        <f t="shared" si="8"/>
        <v>0</v>
      </c>
      <c r="M47" s="316"/>
      <c r="N47" s="160">
        <f t="shared" si="1"/>
        <v>0</v>
      </c>
      <c r="O47" s="160">
        <f t="shared" si="2"/>
        <v>0</v>
      </c>
      <c r="P47" s="4"/>
      <c r="R47" s="1"/>
      <c r="S47" s="1"/>
      <c r="T47" s="1"/>
      <c r="U47" s="1"/>
    </row>
    <row r="48" spans="2:21">
      <c r="B48" t="str">
        <f t="shared" si="0"/>
        <v/>
      </c>
      <c r="C48" s="155">
        <f>IF(D11="","-",+C47+1)</f>
        <v>2045</v>
      </c>
      <c r="D48" s="164">
        <f>IF(F47+SUM(E$17:E47)=D$10,F47,D$10-SUM(E$17:E47))</f>
        <v>2752717.1380841639</v>
      </c>
      <c r="E48" s="162">
        <f t="shared" si="4"/>
        <v>250594.58163414692</v>
      </c>
      <c r="F48" s="161">
        <f t="shared" si="5"/>
        <v>2502122.5564500168</v>
      </c>
      <c r="G48" s="163">
        <f t="shared" si="6"/>
        <v>559292.83777950623</v>
      </c>
      <c r="H48" s="145">
        <f t="shared" si="7"/>
        <v>559292.83777950623</v>
      </c>
      <c r="I48" s="158">
        <f t="shared" si="3"/>
        <v>0</v>
      </c>
      <c r="J48" s="158"/>
      <c r="K48" s="316"/>
      <c r="L48" s="160">
        <f t="shared" si="8"/>
        <v>0</v>
      </c>
      <c r="M48" s="316"/>
      <c r="N48" s="160">
        <f t="shared" si="1"/>
        <v>0</v>
      </c>
      <c r="O48" s="160">
        <f t="shared" si="2"/>
        <v>0</v>
      </c>
      <c r="P48" s="4"/>
      <c r="R48" s="1"/>
      <c r="S48" s="1"/>
      <c r="T48" s="1"/>
      <c r="U48" s="1"/>
    </row>
    <row r="49" spans="2:21">
      <c r="B49" t="str">
        <f t="shared" si="0"/>
        <v/>
      </c>
      <c r="C49" s="155">
        <f>IF(D11="","-",+C48+1)</f>
        <v>2046</v>
      </c>
      <c r="D49" s="164">
        <f>IF(F48+SUM(E$17:E48)=D$10,F48,D$10-SUM(E$17:E48))</f>
        <v>2502122.5564500168</v>
      </c>
      <c r="E49" s="162">
        <f t="shared" si="4"/>
        <v>250594.58163414692</v>
      </c>
      <c r="F49" s="161">
        <f t="shared" si="5"/>
        <v>2251527.9748158697</v>
      </c>
      <c r="G49" s="163">
        <f t="shared" si="6"/>
        <v>529850.22302937368</v>
      </c>
      <c r="H49" s="145">
        <f t="shared" si="7"/>
        <v>529850.22302937368</v>
      </c>
      <c r="I49" s="158">
        <f t="shared" si="3"/>
        <v>0</v>
      </c>
      <c r="J49" s="158"/>
      <c r="K49" s="316"/>
      <c r="L49" s="160">
        <f t="shared" si="8"/>
        <v>0</v>
      </c>
      <c r="M49" s="316"/>
      <c r="N49" s="160">
        <f t="shared" si="1"/>
        <v>0</v>
      </c>
      <c r="O49" s="160">
        <f t="shared" si="2"/>
        <v>0</v>
      </c>
      <c r="P49" s="4"/>
      <c r="R49" s="1"/>
      <c r="S49" s="1"/>
      <c r="T49" s="1"/>
      <c r="U49" s="1"/>
    </row>
    <row r="50" spans="2:21">
      <c r="B50" t="str">
        <f t="shared" si="0"/>
        <v/>
      </c>
      <c r="C50" s="155">
        <f>IF(D11="","-",+C49+1)</f>
        <v>2047</v>
      </c>
      <c r="D50" s="164">
        <f>IF(F49+SUM(E$17:E49)=D$10,F49,D$10-SUM(E$17:E49))</f>
        <v>2251527.9748158697</v>
      </c>
      <c r="E50" s="162">
        <f t="shared" si="4"/>
        <v>250594.58163414692</v>
      </c>
      <c r="F50" s="161">
        <f t="shared" si="5"/>
        <v>2000933.3931817228</v>
      </c>
      <c r="G50" s="163">
        <f t="shared" si="6"/>
        <v>500407.60827924113</v>
      </c>
      <c r="H50" s="145">
        <f t="shared" si="7"/>
        <v>500407.60827924113</v>
      </c>
      <c r="I50" s="158">
        <f t="shared" si="3"/>
        <v>0</v>
      </c>
      <c r="J50" s="158"/>
      <c r="K50" s="316"/>
      <c r="L50" s="160">
        <f t="shared" si="8"/>
        <v>0</v>
      </c>
      <c r="M50" s="316"/>
      <c r="N50" s="160">
        <f t="shared" si="1"/>
        <v>0</v>
      </c>
      <c r="O50" s="160">
        <f t="shared" si="2"/>
        <v>0</v>
      </c>
      <c r="P50" s="4"/>
      <c r="R50" s="1"/>
      <c r="S50" s="1"/>
      <c r="T50" s="1"/>
      <c r="U50" s="1"/>
    </row>
    <row r="51" spans="2:21">
      <c r="B51" t="str">
        <f t="shared" si="0"/>
        <v/>
      </c>
      <c r="C51" s="155">
        <f>IF(D11="","-",+C50+1)</f>
        <v>2048</v>
      </c>
      <c r="D51" s="164">
        <f>IF(F50+SUM(E$17:E50)=D$10,F50,D$10-SUM(E$17:E50))</f>
        <v>2000933.3931817228</v>
      </c>
      <c r="E51" s="162">
        <f t="shared" si="4"/>
        <v>250594.58163414692</v>
      </c>
      <c r="F51" s="161">
        <f t="shared" si="5"/>
        <v>1750338.811547576</v>
      </c>
      <c r="G51" s="163">
        <f t="shared" si="6"/>
        <v>470964.99352910859</v>
      </c>
      <c r="H51" s="145">
        <f t="shared" si="7"/>
        <v>470964.99352910859</v>
      </c>
      <c r="I51" s="158">
        <f t="shared" si="3"/>
        <v>0</v>
      </c>
      <c r="J51" s="158"/>
      <c r="K51" s="316"/>
      <c r="L51" s="160">
        <f t="shared" si="8"/>
        <v>0</v>
      </c>
      <c r="M51" s="316"/>
      <c r="N51" s="160">
        <f t="shared" si="1"/>
        <v>0</v>
      </c>
      <c r="O51" s="160">
        <f t="shared" si="2"/>
        <v>0</v>
      </c>
      <c r="P51" s="4"/>
      <c r="R51" s="1"/>
      <c r="S51" s="1"/>
      <c r="T51" s="1"/>
      <c r="U51" s="1"/>
    </row>
    <row r="52" spans="2:21">
      <c r="B52" t="str">
        <f t="shared" si="0"/>
        <v/>
      </c>
      <c r="C52" s="155">
        <f>IF(D11="","-",+C51+1)</f>
        <v>2049</v>
      </c>
      <c r="D52" s="164">
        <f>IF(F51+SUM(E$17:E51)=D$10,F51,D$10-SUM(E$17:E51))</f>
        <v>1750338.811547576</v>
      </c>
      <c r="E52" s="162">
        <f t="shared" si="4"/>
        <v>250594.58163414692</v>
      </c>
      <c r="F52" s="161">
        <f t="shared" si="5"/>
        <v>1499744.2299134291</v>
      </c>
      <c r="G52" s="163">
        <f t="shared" si="6"/>
        <v>441522.37877897604</v>
      </c>
      <c r="H52" s="145">
        <f t="shared" si="7"/>
        <v>441522.37877897604</v>
      </c>
      <c r="I52" s="158">
        <f t="shared" si="3"/>
        <v>0</v>
      </c>
      <c r="J52" s="158"/>
      <c r="K52" s="316"/>
      <c r="L52" s="160">
        <f t="shared" si="8"/>
        <v>0</v>
      </c>
      <c r="M52" s="316"/>
      <c r="N52" s="160">
        <f t="shared" si="1"/>
        <v>0</v>
      </c>
      <c r="O52" s="160">
        <f t="shared" si="2"/>
        <v>0</v>
      </c>
      <c r="P52" s="4"/>
      <c r="R52" s="1"/>
      <c r="S52" s="1"/>
      <c r="T52" s="1"/>
      <c r="U52" s="1"/>
    </row>
    <row r="53" spans="2:21">
      <c r="B53" t="str">
        <f t="shared" si="0"/>
        <v/>
      </c>
      <c r="C53" s="155">
        <f>IF(D11="","-",+C52+1)</f>
        <v>2050</v>
      </c>
      <c r="D53" s="164">
        <f>IF(F52+SUM(E$17:E52)=D$10,F52,D$10-SUM(E$17:E52))</f>
        <v>1499744.2299134291</v>
      </c>
      <c r="E53" s="162">
        <f t="shared" si="4"/>
        <v>250594.58163414692</v>
      </c>
      <c r="F53" s="161">
        <f t="shared" si="5"/>
        <v>1249149.6482792823</v>
      </c>
      <c r="G53" s="163">
        <f t="shared" si="6"/>
        <v>412079.76402884349</v>
      </c>
      <c r="H53" s="145">
        <f t="shared" si="7"/>
        <v>412079.76402884349</v>
      </c>
      <c r="I53" s="158">
        <f t="shared" si="3"/>
        <v>0</v>
      </c>
      <c r="J53" s="158"/>
      <c r="K53" s="316"/>
      <c r="L53" s="160">
        <f t="shared" si="8"/>
        <v>0</v>
      </c>
      <c r="M53" s="316"/>
      <c r="N53" s="160">
        <f t="shared" si="1"/>
        <v>0</v>
      </c>
      <c r="O53" s="160">
        <f t="shared" si="2"/>
        <v>0</v>
      </c>
      <c r="P53" s="4"/>
      <c r="R53" s="1"/>
      <c r="S53" s="1"/>
      <c r="T53" s="1"/>
      <c r="U53" s="1"/>
    </row>
    <row r="54" spans="2:21">
      <c r="B54" t="str">
        <f t="shared" si="0"/>
        <v/>
      </c>
      <c r="C54" s="155">
        <f>IF(D11="","-",+C53+1)</f>
        <v>2051</v>
      </c>
      <c r="D54" s="164">
        <f>IF(F53+SUM(E$17:E53)=D$10,F53,D$10-SUM(E$17:E53))</f>
        <v>1249149.6482792823</v>
      </c>
      <c r="E54" s="162">
        <f t="shared" si="4"/>
        <v>250594.58163414692</v>
      </c>
      <c r="F54" s="161">
        <f t="shared" si="5"/>
        <v>998555.0666451354</v>
      </c>
      <c r="G54" s="163">
        <f t="shared" si="6"/>
        <v>382637.14927871095</v>
      </c>
      <c r="H54" s="145">
        <f t="shared" si="7"/>
        <v>382637.14927871095</v>
      </c>
      <c r="I54" s="158">
        <f t="shared" si="3"/>
        <v>0</v>
      </c>
      <c r="J54" s="158"/>
      <c r="K54" s="316"/>
      <c r="L54" s="160">
        <f t="shared" si="8"/>
        <v>0</v>
      </c>
      <c r="M54" s="316"/>
      <c r="N54" s="160">
        <f t="shared" si="1"/>
        <v>0</v>
      </c>
      <c r="O54" s="160">
        <f t="shared" si="2"/>
        <v>0</v>
      </c>
      <c r="P54" s="4"/>
      <c r="R54" s="1"/>
      <c r="S54" s="1"/>
      <c r="T54" s="1"/>
      <c r="U54" s="1"/>
    </row>
    <row r="55" spans="2:21">
      <c r="B55" t="str">
        <f t="shared" si="0"/>
        <v/>
      </c>
      <c r="C55" s="155">
        <f>IF(D11="","-",+C54+1)</f>
        <v>2052</v>
      </c>
      <c r="D55" s="164">
        <f>IF(F54+SUM(E$17:E54)=D$10,F54,D$10-SUM(E$17:E54))</f>
        <v>998555.0666451354</v>
      </c>
      <c r="E55" s="162">
        <f t="shared" si="4"/>
        <v>250594.58163414692</v>
      </c>
      <c r="F55" s="161">
        <f t="shared" si="5"/>
        <v>747960.48501098854</v>
      </c>
      <c r="G55" s="163">
        <f t="shared" si="6"/>
        <v>353194.5345285784</v>
      </c>
      <c r="H55" s="145">
        <f t="shared" si="7"/>
        <v>353194.5345285784</v>
      </c>
      <c r="I55" s="158">
        <f t="shared" si="3"/>
        <v>0</v>
      </c>
      <c r="J55" s="158"/>
      <c r="K55" s="316"/>
      <c r="L55" s="160">
        <f t="shared" si="8"/>
        <v>0</v>
      </c>
      <c r="M55" s="316"/>
      <c r="N55" s="160">
        <f t="shared" si="1"/>
        <v>0</v>
      </c>
      <c r="O55" s="160">
        <f t="shared" si="2"/>
        <v>0</v>
      </c>
      <c r="P55" s="4"/>
      <c r="R55" s="1"/>
      <c r="S55" s="1"/>
      <c r="T55" s="1"/>
      <c r="U55" s="1"/>
    </row>
    <row r="56" spans="2:21">
      <c r="B56" t="str">
        <f t="shared" si="0"/>
        <v/>
      </c>
      <c r="C56" s="155">
        <f>IF(D11="","-",+C55+1)</f>
        <v>2053</v>
      </c>
      <c r="D56" s="164">
        <f>IF(F55+SUM(E$17:E55)=D$10,F55,D$10-SUM(E$17:E55))</f>
        <v>747960.48501098854</v>
      </c>
      <c r="E56" s="162">
        <f t="shared" si="4"/>
        <v>250594.58163414692</v>
      </c>
      <c r="F56" s="161">
        <f t="shared" si="5"/>
        <v>497365.90337684163</v>
      </c>
      <c r="G56" s="163">
        <f t="shared" si="6"/>
        <v>323751.91977844585</v>
      </c>
      <c r="H56" s="145">
        <f t="shared" si="7"/>
        <v>323751.91977844585</v>
      </c>
      <c r="I56" s="158">
        <f t="shared" si="3"/>
        <v>0</v>
      </c>
      <c r="J56" s="158"/>
      <c r="K56" s="316"/>
      <c r="L56" s="160">
        <f t="shared" si="8"/>
        <v>0</v>
      </c>
      <c r="M56" s="316"/>
      <c r="N56" s="160">
        <f t="shared" si="1"/>
        <v>0</v>
      </c>
      <c r="O56" s="160">
        <f t="shared" si="2"/>
        <v>0</v>
      </c>
      <c r="P56" s="4"/>
      <c r="R56" s="1"/>
      <c r="S56" s="1"/>
      <c r="T56" s="1"/>
      <c r="U56" s="1"/>
    </row>
    <row r="57" spans="2:21">
      <c r="B57" t="str">
        <f t="shared" si="0"/>
        <v/>
      </c>
      <c r="C57" s="155">
        <f>IF(D11="","-",+C56+1)</f>
        <v>2054</v>
      </c>
      <c r="D57" s="164">
        <f>IF(F56+SUM(E$17:E56)=D$10,F56,D$10-SUM(E$17:E56))</f>
        <v>497365.90337684163</v>
      </c>
      <c r="E57" s="162">
        <f t="shared" si="4"/>
        <v>250594.58163414692</v>
      </c>
      <c r="F57" s="161">
        <f t="shared" si="5"/>
        <v>246771.32174269471</v>
      </c>
      <c r="G57" s="163">
        <f t="shared" si="6"/>
        <v>294309.30502831331</v>
      </c>
      <c r="H57" s="145">
        <f t="shared" si="7"/>
        <v>294309.30502831331</v>
      </c>
      <c r="I57" s="158">
        <f t="shared" si="3"/>
        <v>0</v>
      </c>
      <c r="J57" s="158"/>
      <c r="K57" s="316"/>
      <c r="L57" s="160">
        <f t="shared" si="8"/>
        <v>0</v>
      </c>
      <c r="M57" s="316"/>
      <c r="N57" s="160">
        <f t="shared" si="1"/>
        <v>0</v>
      </c>
      <c r="O57" s="160">
        <f t="shared" si="2"/>
        <v>0</v>
      </c>
      <c r="P57" s="4"/>
      <c r="R57" s="1"/>
      <c r="S57" s="1"/>
      <c r="T57" s="1"/>
      <c r="U57" s="1"/>
    </row>
    <row r="58" spans="2:21">
      <c r="B58" t="str">
        <f t="shared" si="0"/>
        <v/>
      </c>
      <c r="C58" s="155">
        <f>IF(D11="","-",+C57+1)</f>
        <v>2055</v>
      </c>
      <c r="D58" s="164">
        <f>IF(F57+SUM(E$17:E57)=D$10,F57,D$10-SUM(E$17:E57))</f>
        <v>246771.32174269471</v>
      </c>
      <c r="E58" s="162">
        <f t="shared" si="4"/>
        <v>246771.32174269471</v>
      </c>
      <c r="F58" s="161">
        <f t="shared" si="5"/>
        <v>0</v>
      </c>
      <c r="G58" s="163">
        <f t="shared" si="6"/>
        <v>261268.02975224477</v>
      </c>
      <c r="H58" s="145">
        <f t="shared" si="7"/>
        <v>261268.02975224477</v>
      </c>
      <c r="I58" s="158">
        <f t="shared" si="3"/>
        <v>0</v>
      </c>
      <c r="J58" s="158"/>
      <c r="K58" s="316"/>
      <c r="L58" s="160">
        <f t="shared" si="8"/>
        <v>0</v>
      </c>
      <c r="M58" s="316"/>
      <c r="N58" s="160">
        <f t="shared" si="1"/>
        <v>0</v>
      </c>
      <c r="O58" s="160">
        <f t="shared" si="2"/>
        <v>0</v>
      </c>
      <c r="P58" s="4"/>
      <c r="R58" s="1"/>
      <c r="S58" s="1"/>
      <c r="T58" s="1"/>
      <c r="U58" s="1"/>
    </row>
    <row r="59" spans="2:21">
      <c r="B59" t="str">
        <f t="shared" si="0"/>
        <v/>
      </c>
      <c r="C59" s="155">
        <f>IF(D11="","-",+C58+1)</f>
        <v>2056</v>
      </c>
      <c r="D59" s="164">
        <f>IF(F58+SUM(E$17:E58)=D$10,F58,D$10-SUM(E$17:E58))</f>
        <v>0</v>
      </c>
      <c r="E59" s="162">
        <f t="shared" si="4"/>
        <v>0</v>
      </c>
      <c r="F59" s="161">
        <f t="shared" si="5"/>
        <v>0</v>
      </c>
      <c r="G59" s="163">
        <f t="shared" si="6"/>
        <v>0</v>
      </c>
      <c r="H59" s="145">
        <f t="shared" si="7"/>
        <v>0</v>
      </c>
      <c r="I59" s="158">
        <f t="shared" si="3"/>
        <v>0</v>
      </c>
      <c r="J59" s="158"/>
      <c r="K59" s="316"/>
      <c r="L59" s="160">
        <f t="shared" si="8"/>
        <v>0</v>
      </c>
      <c r="M59" s="316"/>
      <c r="N59" s="160">
        <f t="shared" si="1"/>
        <v>0</v>
      </c>
      <c r="O59" s="160">
        <f t="shared" si="2"/>
        <v>0</v>
      </c>
      <c r="P59" s="4"/>
      <c r="R59" s="1"/>
      <c r="S59" s="1"/>
      <c r="T59" s="1"/>
      <c r="U59" s="1"/>
    </row>
    <row r="60" spans="2:21">
      <c r="B60" t="str">
        <f t="shared" si="0"/>
        <v/>
      </c>
      <c r="C60" s="155">
        <f>IF(D11="","-",+C59+1)</f>
        <v>2057</v>
      </c>
      <c r="D60" s="164">
        <f>IF(F59+SUM(E$17:E59)=D$10,F59,D$10-SUM(E$17:E59))</f>
        <v>0</v>
      </c>
      <c r="E60" s="162">
        <f t="shared" si="4"/>
        <v>0</v>
      </c>
      <c r="F60" s="161">
        <f t="shared" si="5"/>
        <v>0</v>
      </c>
      <c r="G60" s="163">
        <f t="shared" si="6"/>
        <v>0</v>
      </c>
      <c r="H60" s="145">
        <f t="shared" si="7"/>
        <v>0</v>
      </c>
      <c r="I60" s="158">
        <f t="shared" si="3"/>
        <v>0</v>
      </c>
      <c r="J60" s="158"/>
      <c r="K60" s="316"/>
      <c r="L60" s="160">
        <f t="shared" si="8"/>
        <v>0</v>
      </c>
      <c r="M60" s="316"/>
      <c r="N60" s="160">
        <f t="shared" si="1"/>
        <v>0</v>
      </c>
      <c r="O60" s="160">
        <f t="shared" si="2"/>
        <v>0</v>
      </c>
      <c r="P60" s="4"/>
      <c r="R60" s="1"/>
      <c r="S60" s="1"/>
      <c r="T60" s="1"/>
      <c r="U60" s="1"/>
    </row>
    <row r="61" spans="2:21">
      <c r="B61" t="str">
        <f t="shared" si="0"/>
        <v/>
      </c>
      <c r="C61" s="155">
        <f>IF(D11="","-",+C60+1)</f>
        <v>2058</v>
      </c>
      <c r="D61" s="164">
        <f>IF(F60+SUM(E$17:E60)=D$10,F60,D$10-SUM(E$17:E60))</f>
        <v>0</v>
      </c>
      <c r="E61" s="162">
        <f t="shared" si="4"/>
        <v>0</v>
      </c>
      <c r="F61" s="161">
        <f t="shared" si="5"/>
        <v>0</v>
      </c>
      <c r="G61" s="163">
        <f t="shared" si="6"/>
        <v>0</v>
      </c>
      <c r="H61" s="145">
        <f t="shared" si="7"/>
        <v>0</v>
      </c>
      <c r="I61" s="158">
        <f t="shared" si="3"/>
        <v>0</v>
      </c>
      <c r="J61" s="158"/>
      <c r="K61" s="316"/>
      <c r="L61" s="160">
        <f t="shared" si="8"/>
        <v>0</v>
      </c>
      <c r="M61" s="316"/>
      <c r="N61" s="160">
        <f t="shared" si="1"/>
        <v>0</v>
      </c>
      <c r="O61" s="160">
        <f t="shared" si="2"/>
        <v>0</v>
      </c>
      <c r="P61" s="4"/>
      <c r="R61" s="1"/>
      <c r="S61" s="1"/>
      <c r="T61" s="1"/>
      <c r="U61" s="1"/>
    </row>
    <row r="62" spans="2:21">
      <c r="B62" t="str">
        <f t="shared" si="0"/>
        <v/>
      </c>
      <c r="C62" s="155">
        <f>IF(D11="","-",+C61+1)</f>
        <v>2059</v>
      </c>
      <c r="D62" s="164">
        <f>IF(F61+SUM(E$17:E61)=D$10,F61,D$10-SUM(E$17:E61))</f>
        <v>0</v>
      </c>
      <c r="E62" s="162">
        <f t="shared" si="4"/>
        <v>0</v>
      </c>
      <c r="F62" s="161">
        <f t="shared" si="5"/>
        <v>0</v>
      </c>
      <c r="G62" s="163">
        <f t="shared" si="6"/>
        <v>0</v>
      </c>
      <c r="H62" s="145">
        <f t="shared" si="7"/>
        <v>0</v>
      </c>
      <c r="I62" s="158">
        <f t="shared" si="3"/>
        <v>0</v>
      </c>
      <c r="J62" s="158"/>
      <c r="K62" s="316"/>
      <c r="L62" s="160">
        <f t="shared" si="8"/>
        <v>0</v>
      </c>
      <c r="M62" s="316"/>
      <c r="N62" s="160">
        <f t="shared" si="1"/>
        <v>0</v>
      </c>
      <c r="O62" s="160">
        <f t="shared" si="2"/>
        <v>0</v>
      </c>
      <c r="P62" s="4"/>
      <c r="R62" s="1"/>
      <c r="S62" s="1"/>
      <c r="T62" s="1"/>
      <c r="U62" s="1"/>
    </row>
    <row r="63" spans="2:21">
      <c r="B63" t="str">
        <f t="shared" si="0"/>
        <v/>
      </c>
      <c r="C63" s="155">
        <f>IF(D11="","-",+C62+1)</f>
        <v>2060</v>
      </c>
      <c r="D63" s="164">
        <f>IF(F62+SUM(E$17:E62)=D$10,F62,D$10-SUM(E$17:E62))</f>
        <v>0</v>
      </c>
      <c r="E63" s="162">
        <f t="shared" si="4"/>
        <v>0</v>
      </c>
      <c r="F63" s="161">
        <f t="shared" si="5"/>
        <v>0</v>
      </c>
      <c r="G63" s="163">
        <f t="shared" si="6"/>
        <v>0</v>
      </c>
      <c r="H63" s="145">
        <f t="shared" si="7"/>
        <v>0</v>
      </c>
      <c r="I63" s="158">
        <f t="shared" si="3"/>
        <v>0</v>
      </c>
      <c r="J63" s="158"/>
      <c r="K63" s="316"/>
      <c r="L63" s="160">
        <f t="shared" si="8"/>
        <v>0</v>
      </c>
      <c r="M63" s="316"/>
      <c r="N63" s="160">
        <f t="shared" si="1"/>
        <v>0</v>
      </c>
      <c r="O63" s="160">
        <f t="shared" si="2"/>
        <v>0</v>
      </c>
      <c r="P63" s="4"/>
      <c r="R63" s="1"/>
      <c r="S63" s="1"/>
      <c r="T63" s="1"/>
      <c r="U63" s="1"/>
    </row>
    <row r="64" spans="2:21">
      <c r="B64" t="str">
        <f t="shared" si="0"/>
        <v/>
      </c>
      <c r="C64" s="155">
        <f>IF(D11="","-",+C63+1)</f>
        <v>2061</v>
      </c>
      <c r="D64" s="164">
        <f>IF(F63+SUM(E$17:E63)=D$10,F63,D$10-SUM(E$17:E63))</f>
        <v>0</v>
      </c>
      <c r="E64" s="162">
        <f t="shared" si="4"/>
        <v>0</v>
      </c>
      <c r="F64" s="161">
        <f t="shared" si="5"/>
        <v>0</v>
      </c>
      <c r="G64" s="163">
        <f t="shared" si="6"/>
        <v>0</v>
      </c>
      <c r="H64" s="145">
        <f t="shared" si="7"/>
        <v>0</v>
      </c>
      <c r="I64" s="158">
        <f t="shared" si="3"/>
        <v>0</v>
      </c>
      <c r="J64" s="158"/>
      <c r="K64" s="316"/>
      <c r="L64" s="160">
        <f t="shared" si="8"/>
        <v>0</v>
      </c>
      <c r="M64" s="316"/>
      <c r="N64" s="160">
        <f t="shared" si="1"/>
        <v>0</v>
      </c>
      <c r="O64" s="160">
        <f t="shared" si="2"/>
        <v>0</v>
      </c>
      <c r="P64" s="4"/>
      <c r="R64" s="1"/>
      <c r="S64" s="1"/>
      <c r="T64" s="1"/>
      <c r="U64" s="1"/>
    </row>
    <row r="65" spans="2:21">
      <c r="B65" t="str">
        <f t="shared" si="0"/>
        <v/>
      </c>
      <c r="C65" s="155">
        <f>IF(D11="","-",+C64+1)</f>
        <v>2062</v>
      </c>
      <c r="D65" s="164">
        <f>IF(F64+SUM(E$17:E64)=D$10,F64,D$10-SUM(E$17:E64))</f>
        <v>0</v>
      </c>
      <c r="E65" s="162">
        <f t="shared" si="4"/>
        <v>0</v>
      </c>
      <c r="F65" s="161">
        <f t="shared" si="5"/>
        <v>0</v>
      </c>
      <c r="G65" s="163">
        <f t="shared" si="6"/>
        <v>0</v>
      </c>
      <c r="H65" s="145">
        <f t="shared" si="7"/>
        <v>0</v>
      </c>
      <c r="I65" s="158">
        <f t="shared" si="3"/>
        <v>0</v>
      </c>
      <c r="J65" s="158"/>
      <c r="K65" s="316"/>
      <c r="L65" s="160">
        <f t="shared" si="8"/>
        <v>0</v>
      </c>
      <c r="M65" s="316"/>
      <c r="N65" s="160">
        <f t="shared" si="1"/>
        <v>0</v>
      </c>
      <c r="O65" s="160">
        <f t="shared" si="2"/>
        <v>0</v>
      </c>
      <c r="P65" s="4"/>
      <c r="R65" s="1"/>
      <c r="S65" s="1"/>
      <c r="T65" s="1"/>
      <c r="U65" s="1"/>
    </row>
    <row r="66" spans="2:21">
      <c r="B66" t="str">
        <f t="shared" si="0"/>
        <v/>
      </c>
      <c r="C66" s="155">
        <f>IF(D11="","-",+C65+1)</f>
        <v>2063</v>
      </c>
      <c r="D66" s="164">
        <f>IF(F65+SUM(E$17:E65)=D$10,F65,D$10-SUM(E$17:E65))</f>
        <v>0</v>
      </c>
      <c r="E66" s="162">
        <f t="shared" si="4"/>
        <v>0</v>
      </c>
      <c r="F66" s="161">
        <f t="shared" si="5"/>
        <v>0</v>
      </c>
      <c r="G66" s="163">
        <f t="shared" si="6"/>
        <v>0</v>
      </c>
      <c r="H66" s="145">
        <f t="shared" si="7"/>
        <v>0</v>
      </c>
      <c r="I66" s="158">
        <f t="shared" si="3"/>
        <v>0</v>
      </c>
      <c r="J66" s="158"/>
      <c r="K66" s="316"/>
      <c r="L66" s="160">
        <f t="shared" si="8"/>
        <v>0</v>
      </c>
      <c r="M66" s="316"/>
      <c r="N66" s="160">
        <f t="shared" si="1"/>
        <v>0</v>
      </c>
      <c r="O66" s="160">
        <f t="shared" si="2"/>
        <v>0</v>
      </c>
      <c r="P66" s="4"/>
      <c r="R66" s="1"/>
      <c r="S66" s="1"/>
      <c r="T66" s="1"/>
      <c r="U66" s="1"/>
    </row>
    <row r="67" spans="2:21">
      <c r="B67" t="str">
        <f t="shared" si="0"/>
        <v/>
      </c>
      <c r="C67" s="155">
        <f>IF(D11="","-",+C66+1)</f>
        <v>2064</v>
      </c>
      <c r="D67" s="164">
        <f>IF(F66+SUM(E$17:E66)=D$10,F66,D$10-SUM(E$17:E66))</f>
        <v>0</v>
      </c>
      <c r="E67" s="162">
        <f t="shared" si="4"/>
        <v>0</v>
      </c>
      <c r="F67" s="161">
        <f t="shared" si="5"/>
        <v>0</v>
      </c>
      <c r="G67" s="163">
        <f t="shared" si="6"/>
        <v>0</v>
      </c>
      <c r="H67" s="145">
        <f t="shared" si="7"/>
        <v>0</v>
      </c>
      <c r="I67" s="158">
        <f t="shared" si="3"/>
        <v>0</v>
      </c>
      <c r="J67" s="158"/>
      <c r="K67" s="316"/>
      <c r="L67" s="160">
        <f t="shared" si="8"/>
        <v>0</v>
      </c>
      <c r="M67" s="316"/>
      <c r="N67" s="160">
        <f t="shared" si="1"/>
        <v>0</v>
      </c>
      <c r="O67" s="160">
        <f t="shared" si="2"/>
        <v>0</v>
      </c>
      <c r="P67" s="4"/>
      <c r="R67" s="1"/>
      <c r="S67" s="1"/>
      <c r="T67" s="1"/>
      <c r="U67" s="1"/>
    </row>
    <row r="68" spans="2:21">
      <c r="B68" t="str">
        <f t="shared" si="0"/>
        <v/>
      </c>
      <c r="C68" s="155">
        <f>IF(D11="","-",+C67+1)</f>
        <v>2065</v>
      </c>
      <c r="D68" s="164">
        <f>IF(F67+SUM(E$17:E67)=D$10,F67,D$10-SUM(E$17:E67))</f>
        <v>0</v>
      </c>
      <c r="E68" s="162">
        <f t="shared" si="4"/>
        <v>0</v>
      </c>
      <c r="F68" s="161">
        <f t="shared" si="5"/>
        <v>0</v>
      </c>
      <c r="G68" s="163">
        <f t="shared" si="6"/>
        <v>0</v>
      </c>
      <c r="H68" s="145">
        <f t="shared" si="7"/>
        <v>0</v>
      </c>
      <c r="I68" s="158">
        <f t="shared" si="3"/>
        <v>0</v>
      </c>
      <c r="J68" s="158"/>
      <c r="K68" s="316"/>
      <c r="L68" s="160">
        <f t="shared" si="8"/>
        <v>0</v>
      </c>
      <c r="M68" s="316"/>
      <c r="N68" s="160">
        <f t="shared" si="1"/>
        <v>0</v>
      </c>
      <c r="O68" s="160">
        <f t="shared" si="2"/>
        <v>0</v>
      </c>
      <c r="P68" s="4"/>
      <c r="R68" s="1"/>
      <c r="S68" s="1"/>
      <c r="T68" s="1"/>
      <c r="U68" s="1"/>
    </row>
    <row r="69" spans="2:21">
      <c r="B69" t="str">
        <f t="shared" si="0"/>
        <v/>
      </c>
      <c r="C69" s="155">
        <f>IF(D11="","-",+C68+1)</f>
        <v>2066</v>
      </c>
      <c r="D69" s="164">
        <f>IF(F68+SUM(E$17:E68)=D$10,F68,D$10-SUM(E$17:E68))</f>
        <v>0</v>
      </c>
      <c r="E69" s="162">
        <f t="shared" si="4"/>
        <v>0</v>
      </c>
      <c r="F69" s="161">
        <f t="shared" si="5"/>
        <v>0</v>
      </c>
      <c r="G69" s="163">
        <f t="shared" si="6"/>
        <v>0</v>
      </c>
      <c r="H69" s="145">
        <f t="shared" si="7"/>
        <v>0</v>
      </c>
      <c r="I69" s="158">
        <f t="shared" si="3"/>
        <v>0</v>
      </c>
      <c r="J69" s="158"/>
      <c r="K69" s="316"/>
      <c r="L69" s="160">
        <f t="shared" si="8"/>
        <v>0</v>
      </c>
      <c r="M69" s="316"/>
      <c r="N69" s="160">
        <f t="shared" si="1"/>
        <v>0</v>
      </c>
      <c r="O69" s="160">
        <f t="shared" si="2"/>
        <v>0</v>
      </c>
      <c r="P69" s="4"/>
      <c r="R69" s="1"/>
      <c r="S69" s="1"/>
      <c r="T69" s="1"/>
      <c r="U69" s="1"/>
    </row>
    <row r="70" spans="2:21">
      <c r="B70" t="str">
        <f t="shared" si="0"/>
        <v/>
      </c>
      <c r="C70" s="155">
        <f>IF(D11="","-",+C69+1)</f>
        <v>2067</v>
      </c>
      <c r="D70" s="164">
        <f>IF(F69+SUM(E$17:E69)=D$10,F69,D$10-SUM(E$17:E69))</f>
        <v>0</v>
      </c>
      <c r="E70" s="162">
        <f t="shared" si="4"/>
        <v>0</v>
      </c>
      <c r="F70" s="161">
        <f t="shared" si="5"/>
        <v>0</v>
      </c>
      <c r="G70" s="163">
        <f t="shared" si="6"/>
        <v>0</v>
      </c>
      <c r="H70" s="145">
        <f t="shared" si="7"/>
        <v>0</v>
      </c>
      <c r="I70" s="158">
        <f t="shared" si="3"/>
        <v>0</v>
      </c>
      <c r="J70" s="158"/>
      <c r="K70" s="316"/>
      <c r="L70" s="160">
        <f t="shared" si="8"/>
        <v>0</v>
      </c>
      <c r="M70" s="316"/>
      <c r="N70" s="160">
        <f t="shared" si="1"/>
        <v>0</v>
      </c>
      <c r="O70" s="160">
        <f t="shared" si="2"/>
        <v>0</v>
      </c>
      <c r="P70" s="4"/>
      <c r="R70" s="1"/>
      <c r="S70" s="1"/>
      <c r="T70" s="1"/>
      <c r="U70" s="1"/>
    </row>
    <row r="71" spans="2:21">
      <c r="B71" t="str">
        <f t="shared" si="0"/>
        <v/>
      </c>
      <c r="C71" s="155">
        <f>IF(D11="","-",+C70+1)</f>
        <v>2068</v>
      </c>
      <c r="D71" s="164">
        <f>IF(F70+SUM(E$17:E70)=D$10,F70,D$10-SUM(E$17:E70))</f>
        <v>0</v>
      </c>
      <c r="E71" s="162">
        <f t="shared" si="4"/>
        <v>0</v>
      </c>
      <c r="F71" s="161">
        <f t="shared" si="5"/>
        <v>0</v>
      </c>
      <c r="G71" s="163">
        <f t="shared" si="6"/>
        <v>0</v>
      </c>
      <c r="H71" s="145">
        <f t="shared" si="7"/>
        <v>0</v>
      </c>
      <c r="I71" s="158">
        <f t="shared" si="3"/>
        <v>0</v>
      </c>
      <c r="J71" s="158"/>
      <c r="K71" s="316"/>
      <c r="L71" s="160">
        <f t="shared" si="8"/>
        <v>0</v>
      </c>
      <c r="M71" s="316"/>
      <c r="N71" s="160">
        <f t="shared" si="1"/>
        <v>0</v>
      </c>
      <c r="O71" s="160">
        <f t="shared" si="2"/>
        <v>0</v>
      </c>
      <c r="P71" s="4"/>
      <c r="R71" s="1"/>
      <c r="S71" s="1"/>
      <c r="T71" s="1"/>
      <c r="U71" s="1"/>
    </row>
    <row r="72" spans="2:21">
      <c r="B72" t="str">
        <f t="shared" si="0"/>
        <v/>
      </c>
      <c r="C72" s="155">
        <f>IF(D11="","-",+C71+1)</f>
        <v>2069</v>
      </c>
      <c r="D72" s="164">
        <f>IF(F71+SUM(E$17:E71)=D$10,F71,D$10-SUM(E$17:E71))</f>
        <v>0</v>
      </c>
      <c r="E72" s="162">
        <f t="shared" si="4"/>
        <v>0</v>
      </c>
      <c r="F72" s="161">
        <f t="shared" si="5"/>
        <v>0</v>
      </c>
      <c r="G72" s="163">
        <f t="shared" si="6"/>
        <v>0</v>
      </c>
      <c r="H72" s="145">
        <f t="shared" si="7"/>
        <v>0</v>
      </c>
      <c r="I72" s="158">
        <f t="shared" si="3"/>
        <v>0</v>
      </c>
      <c r="J72" s="158"/>
      <c r="K72" s="316"/>
      <c r="L72" s="160">
        <f t="shared" si="8"/>
        <v>0</v>
      </c>
      <c r="M72" s="316"/>
      <c r="N72" s="160">
        <f t="shared" si="1"/>
        <v>0</v>
      </c>
      <c r="O72" s="160">
        <f t="shared" si="2"/>
        <v>0</v>
      </c>
      <c r="P72" s="4"/>
      <c r="R72" s="1"/>
      <c r="S72" s="1"/>
      <c r="T72" s="1"/>
      <c r="U72" s="1"/>
    </row>
    <row r="73" spans="2:21" ht="13.5" thickBot="1">
      <c r="B73" t="str">
        <f t="shared" si="0"/>
        <v/>
      </c>
      <c r="C73" s="166">
        <f>IF(D11="","-",+C72+1)</f>
        <v>2070</v>
      </c>
      <c r="D73" s="349">
        <f>IF(F72+SUM(E$17:E72)=D$10,F72,D$10-SUM(E$17:E72))</f>
        <v>0</v>
      </c>
      <c r="E73" s="168">
        <f t="shared" si="4"/>
        <v>0</v>
      </c>
      <c r="F73" s="167">
        <f t="shared" si="5"/>
        <v>0</v>
      </c>
      <c r="G73" s="397">
        <f t="shared" si="6"/>
        <v>0</v>
      </c>
      <c r="H73" s="127">
        <f t="shared" si="7"/>
        <v>0</v>
      </c>
      <c r="I73" s="170">
        <f t="shared" si="3"/>
        <v>0</v>
      </c>
      <c r="J73" s="158"/>
      <c r="K73" s="317"/>
      <c r="L73" s="171">
        <f t="shared" si="8"/>
        <v>0</v>
      </c>
      <c r="M73" s="317"/>
      <c r="N73" s="171">
        <f t="shared" si="1"/>
        <v>0</v>
      </c>
      <c r="O73" s="171">
        <f t="shared" si="2"/>
        <v>0</v>
      </c>
      <c r="P73" s="4"/>
      <c r="R73" s="1"/>
      <c r="S73" s="1"/>
      <c r="T73" s="1"/>
      <c r="U73" s="1"/>
    </row>
    <row r="74" spans="2:21">
      <c r="C74" s="156" t="s">
        <v>75</v>
      </c>
      <c r="D74" s="112"/>
      <c r="E74" s="112">
        <f>SUM(E17:E73)</f>
        <v>10218097.999999998</v>
      </c>
      <c r="F74" s="112"/>
      <c r="G74" s="112">
        <f>SUM(G17:G73)</f>
        <v>35429190.630371027</v>
      </c>
      <c r="H74" s="112">
        <f>SUM(H17:H73)</f>
        <v>35429190.630371027</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7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1354243.4360330855</v>
      </c>
      <c r="N88" s="198">
        <f>IF(J93&lt;D11,0,VLOOKUP(J93,C17:O73,11))</f>
        <v>1354243.4360330855</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1266121.5205016474</v>
      </c>
      <c r="N89" s="200">
        <f>IF(J93&lt;D11,0,VLOOKUP(J93,C100:P155,7))</f>
        <v>1266121.5205016474</v>
      </c>
      <c r="O89" s="201">
        <f>+N89-M89</f>
        <v>0</v>
      </c>
      <c r="P89" s="1"/>
      <c r="Q89" s="1"/>
      <c r="R89" s="1"/>
      <c r="S89" s="1"/>
      <c r="T89" s="1"/>
      <c r="U89" s="1"/>
    </row>
    <row r="90" spans="1:21" ht="13.5" thickBot="1">
      <c r="C90" s="124" t="s">
        <v>82</v>
      </c>
      <c r="D90" s="243" t="str">
        <f>+D7</f>
        <v xml:space="preserve">Cornville Station Conversion </v>
      </c>
      <c r="E90" s="1"/>
      <c r="F90" s="1"/>
      <c r="G90" s="1"/>
      <c r="H90" s="1"/>
      <c r="I90" s="3"/>
      <c r="J90" s="3"/>
      <c r="K90" s="256"/>
      <c r="L90" s="257" t="s">
        <v>135</v>
      </c>
      <c r="M90" s="203">
        <f>+M89-M88</f>
        <v>-88121.915531438077</v>
      </c>
      <c r="N90" s="203">
        <f>+N89-N88</f>
        <v>-88121.915531438077</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TP2011093</v>
      </c>
      <c r="E92" s="206"/>
      <c r="F92" s="206"/>
      <c r="G92" s="206"/>
      <c r="H92" s="206"/>
      <c r="I92" s="206"/>
      <c r="J92" s="206"/>
      <c r="K92" s="207"/>
      <c r="P92" s="134"/>
      <c r="Q92" s="1"/>
      <c r="R92" s="1"/>
      <c r="S92" s="1"/>
      <c r="T92" s="1"/>
      <c r="U92" s="1"/>
    </row>
    <row r="93" spans="1:21">
      <c r="C93" s="139" t="s">
        <v>49</v>
      </c>
      <c r="D93" s="136">
        <f>IF(D11=I10,0,D10)</f>
        <v>10218098</v>
      </c>
      <c r="E93" s="23" t="s">
        <v>84</v>
      </c>
      <c r="H93" s="137"/>
      <c r="I93" s="137"/>
      <c r="J93" s="138">
        <f>+'OKT.WS.G.BPU.ATRR.True-up'!M16</f>
        <v>2018</v>
      </c>
      <c r="K93" s="133"/>
      <c r="L93" s="112" t="s">
        <v>85</v>
      </c>
      <c r="P93" s="4"/>
      <c r="Q93" s="1"/>
      <c r="R93" s="1"/>
      <c r="S93" s="1"/>
      <c r="T93" s="1"/>
      <c r="U93" s="1"/>
    </row>
    <row r="94" spans="1:21">
      <c r="C94" s="139" t="s">
        <v>52</v>
      </c>
      <c r="D94" s="218">
        <f>IF(D11=I10,"",D11)</f>
        <v>2014</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7">
        <f>IF(D11=I10,"",D12)</f>
        <v>10</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283836.05555555556</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 t="shared" ref="B100:B155" si="9">IF(D100=F99,"","IU")</f>
        <v>IU</v>
      </c>
      <c r="C100" s="155">
        <f>IF(D94= "","-",D94)</f>
        <v>2014</v>
      </c>
      <c r="D100" s="392">
        <v>0</v>
      </c>
      <c r="E100" s="393">
        <v>102248.51895114942</v>
      </c>
      <c r="F100" s="394">
        <v>10064175.65104885</v>
      </c>
      <c r="G100" s="395">
        <v>5032087.8255244251</v>
      </c>
      <c r="H100" s="395">
        <v>643416.4924496013</v>
      </c>
      <c r="I100" s="395">
        <v>643416.4924496013</v>
      </c>
      <c r="J100" s="396">
        <v>0</v>
      </c>
      <c r="K100" s="160"/>
      <c r="L100" s="344">
        <f>H100</f>
        <v>643416.4924496013</v>
      </c>
      <c r="M100" s="160">
        <f>IF(L100&lt;&gt;0,+H100-L100,0)</f>
        <v>0</v>
      </c>
      <c r="N100" s="344">
        <f>I100</f>
        <v>643416.4924496013</v>
      </c>
      <c r="O100" s="160">
        <f>IF(N100&lt;&gt;0,+I100-N100,0)</f>
        <v>0</v>
      </c>
      <c r="P100" s="160">
        <f>+O100-M100</f>
        <v>0</v>
      </c>
      <c r="Q100" s="1"/>
      <c r="R100" s="1"/>
      <c r="S100" s="1"/>
      <c r="T100" s="1"/>
      <c r="U100" s="1"/>
    </row>
    <row r="101" spans="1:21">
      <c r="B101" t="str">
        <f t="shared" si="9"/>
        <v>IU</v>
      </c>
      <c r="C101" s="155">
        <f>IF(D94="","-",+C100+1)</f>
        <v>2015</v>
      </c>
      <c r="D101" s="398">
        <v>10115489.48104885</v>
      </c>
      <c r="E101" s="398">
        <v>212869.54166666666</v>
      </c>
      <c r="F101" s="398">
        <v>9902619.9393821843</v>
      </c>
      <c r="G101" s="398">
        <v>10009054.710215516</v>
      </c>
      <c r="H101" s="398">
        <v>1327171.8833094309</v>
      </c>
      <c r="I101" s="398">
        <v>1327171.8833094309</v>
      </c>
      <c r="J101" s="398">
        <v>0</v>
      </c>
      <c r="K101" s="160"/>
      <c r="L101" s="344">
        <f>H101</f>
        <v>1327171.8833094309</v>
      </c>
      <c r="M101" s="160">
        <f>IF(L101&lt;&gt;0,+H101-L101,0)</f>
        <v>0</v>
      </c>
      <c r="N101" s="344">
        <f>I101</f>
        <v>1327171.8833094309</v>
      </c>
      <c r="O101" s="160">
        <f t="shared" ref="O101:O131" si="10">IF(N101&lt;&gt;0,+I101-N101,0)</f>
        <v>0</v>
      </c>
      <c r="P101" s="160">
        <f t="shared" ref="P101:P131" si="11">+O101-M101</f>
        <v>0</v>
      </c>
      <c r="Q101" s="1"/>
      <c r="R101" s="1"/>
      <c r="S101" s="1"/>
      <c r="T101" s="1"/>
      <c r="U101" s="1"/>
    </row>
    <row r="102" spans="1:21">
      <c r="B102" t="str">
        <f t="shared" si="9"/>
        <v>IU</v>
      </c>
      <c r="C102" s="155">
        <f>IF(D94="","-",+C101+1)</f>
        <v>2016</v>
      </c>
      <c r="D102" s="398">
        <v>9902979.9393821843</v>
      </c>
      <c r="E102" s="398">
        <v>200354.86274509804</v>
      </c>
      <c r="F102" s="398">
        <v>9702625.0766370855</v>
      </c>
      <c r="G102" s="398">
        <v>9802802.5080096349</v>
      </c>
      <c r="H102" s="398">
        <v>1262679.2712885526</v>
      </c>
      <c r="I102" s="398">
        <v>1262679.2712885526</v>
      </c>
      <c r="J102" s="160">
        <f t="shared" ref="J102:J155" si="12">+I102-H102</f>
        <v>0</v>
      </c>
      <c r="K102" s="160"/>
      <c r="L102" s="344">
        <f>H102</f>
        <v>1262679.2712885526</v>
      </c>
      <c r="M102" s="160">
        <f>IF(L102&lt;&gt;0,+H102-L102,0)</f>
        <v>0</v>
      </c>
      <c r="N102" s="344">
        <f>I102</f>
        <v>1262679.2712885526</v>
      </c>
      <c r="O102" s="160">
        <f>IF(N102&lt;&gt;0,+I102-N102,0)</f>
        <v>0</v>
      </c>
      <c r="P102" s="160">
        <f>+O102-M102</f>
        <v>0</v>
      </c>
      <c r="Q102" s="1"/>
      <c r="R102" s="1"/>
      <c r="S102" s="1"/>
      <c r="T102" s="1"/>
      <c r="U102" s="1"/>
    </row>
    <row r="103" spans="1:21">
      <c r="B103" t="str">
        <f t="shared" si="9"/>
        <v/>
      </c>
      <c r="C103" s="155">
        <f>IF(D94="","-",+C102+1)</f>
        <v>2017</v>
      </c>
      <c r="D103" s="398">
        <v>9702625.0766370855</v>
      </c>
      <c r="E103" s="398">
        <v>255452.45</v>
      </c>
      <c r="F103" s="398">
        <v>9447172.6266370863</v>
      </c>
      <c r="G103" s="398">
        <v>9574898.8516370859</v>
      </c>
      <c r="H103" s="398">
        <v>1378931.4814948814</v>
      </c>
      <c r="I103" s="398">
        <v>1378931.4814948814</v>
      </c>
      <c r="J103" s="160">
        <f t="shared" si="12"/>
        <v>0</v>
      </c>
      <c r="K103" s="160"/>
      <c r="L103" s="344">
        <f>H103</f>
        <v>1378931.4814948814</v>
      </c>
      <c r="M103" s="160">
        <f>IF(L103&lt;&gt;0,+H103-L103,0)</f>
        <v>0</v>
      </c>
      <c r="N103" s="344">
        <f>I103</f>
        <v>1378931.4814948814</v>
      </c>
      <c r="O103" s="160">
        <f>IF(N103&lt;&gt;0,+I103-N103,0)</f>
        <v>0</v>
      </c>
      <c r="P103" s="160">
        <f>+O103-M103</f>
        <v>0</v>
      </c>
      <c r="Q103" s="1"/>
      <c r="R103" s="1"/>
      <c r="S103" s="1"/>
      <c r="T103" s="1"/>
      <c r="U103" s="1"/>
    </row>
    <row r="104" spans="1:21">
      <c r="B104" t="str">
        <f t="shared" si="9"/>
        <v/>
      </c>
      <c r="C104" s="155">
        <f>IF(D94="","-",+C103+1)</f>
        <v>2018</v>
      </c>
      <c r="D104" s="156">
        <f>IF(F103+SUM(E$100:E103)=D$93,F103,D$93-SUM(E$100:E103))</f>
        <v>9447172.6266370863</v>
      </c>
      <c r="E104" s="162">
        <f t="shared" ref="E104:E155" si="13">IF(+$J$97&lt;F103,$J$97,D104)</f>
        <v>283836.05555555556</v>
      </c>
      <c r="F104" s="161">
        <f t="shared" ref="F104:F155" si="14">+D104-E104</f>
        <v>9163336.5710815303</v>
      </c>
      <c r="G104" s="161">
        <f t="shared" ref="G104:G155" si="15">+(F104+D104)/2</f>
        <v>9305254.5988593083</v>
      </c>
      <c r="H104" s="165">
        <f t="shared" ref="H104:H155" si="16">+J$95*G104+E104</f>
        <v>1266121.5205016474</v>
      </c>
      <c r="I104" s="299">
        <f t="shared" ref="I104:I155" si="17">+J$96*G104+E104</f>
        <v>1266121.5205016474</v>
      </c>
      <c r="J104" s="160">
        <f t="shared" si="12"/>
        <v>0</v>
      </c>
      <c r="K104" s="160"/>
      <c r="L104" s="316"/>
      <c r="M104" s="160">
        <f t="shared" ref="M104:M131" si="18">IF(L104&lt;&gt;0,+H104-L104,0)</f>
        <v>0</v>
      </c>
      <c r="N104" s="316"/>
      <c r="O104" s="160">
        <f t="shared" si="10"/>
        <v>0</v>
      </c>
      <c r="P104" s="160">
        <f t="shared" si="11"/>
        <v>0</v>
      </c>
      <c r="Q104" s="1"/>
      <c r="R104" s="1"/>
      <c r="S104" s="1"/>
      <c r="T104" s="1"/>
      <c r="U104" s="1"/>
    </row>
    <row r="105" spans="1:21">
      <c r="B105" t="str">
        <f t="shared" si="9"/>
        <v/>
      </c>
      <c r="C105" s="155">
        <f>IF(D94="","-",+C104+1)</f>
        <v>2019</v>
      </c>
      <c r="D105" s="156">
        <f>IF(F104+SUM(E$100:E104)=D$93,F104,D$93-SUM(E$100:E104))</f>
        <v>9163336.5710815303</v>
      </c>
      <c r="E105" s="162">
        <f t="shared" si="13"/>
        <v>283836.05555555556</v>
      </c>
      <c r="F105" s="161">
        <f t="shared" si="14"/>
        <v>8879500.5155259743</v>
      </c>
      <c r="G105" s="161">
        <f t="shared" si="15"/>
        <v>9021418.5433037523</v>
      </c>
      <c r="H105" s="165">
        <f t="shared" si="16"/>
        <v>1236159.0913345795</v>
      </c>
      <c r="I105" s="299">
        <f t="shared" si="17"/>
        <v>1236159.0913345795</v>
      </c>
      <c r="J105" s="160">
        <f t="shared" si="12"/>
        <v>0</v>
      </c>
      <c r="K105" s="160"/>
      <c r="L105" s="316"/>
      <c r="M105" s="160">
        <f t="shared" si="18"/>
        <v>0</v>
      </c>
      <c r="N105" s="316"/>
      <c r="O105" s="160">
        <f t="shared" si="10"/>
        <v>0</v>
      </c>
      <c r="P105" s="160">
        <f t="shared" si="11"/>
        <v>0</v>
      </c>
      <c r="Q105" s="1"/>
      <c r="R105" s="1"/>
      <c r="S105" s="1"/>
      <c r="T105" s="1"/>
      <c r="U105" s="1"/>
    </row>
    <row r="106" spans="1:21">
      <c r="B106" t="str">
        <f t="shared" si="9"/>
        <v/>
      </c>
      <c r="C106" s="155">
        <f>IF(D94="","-",+C105+1)</f>
        <v>2020</v>
      </c>
      <c r="D106" s="156">
        <f>IF(F105+SUM(E$100:E105)=D$93,F105,D$93-SUM(E$100:E105))</f>
        <v>8879500.5155259743</v>
      </c>
      <c r="E106" s="162">
        <f t="shared" si="13"/>
        <v>283836.05555555556</v>
      </c>
      <c r="F106" s="161">
        <f t="shared" si="14"/>
        <v>8595664.4599704184</v>
      </c>
      <c r="G106" s="161">
        <f t="shared" si="15"/>
        <v>8737582.4877481963</v>
      </c>
      <c r="H106" s="165">
        <f t="shared" si="16"/>
        <v>1206196.6621675116</v>
      </c>
      <c r="I106" s="299">
        <f t="shared" si="17"/>
        <v>1206196.6621675116</v>
      </c>
      <c r="J106" s="160">
        <f t="shared" si="12"/>
        <v>0</v>
      </c>
      <c r="K106" s="160"/>
      <c r="L106" s="316"/>
      <c r="M106" s="160">
        <f t="shared" si="18"/>
        <v>0</v>
      </c>
      <c r="N106" s="316"/>
      <c r="O106" s="160">
        <f t="shared" si="10"/>
        <v>0</v>
      </c>
      <c r="P106" s="160">
        <f t="shared" si="11"/>
        <v>0</v>
      </c>
      <c r="Q106" s="1"/>
      <c r="R106" s="1"/>
      <c r="S106" s="1"/>
      <c r="T106" s="1"/>
      <c r="U106" s="1"/>
    </row>
    <row r="107" spans="1:21">
      <c r="B107" t="str">
        <f t="shared" si="9"/>
        <v/>
      </c>
      <c r="C107" s="155">
        <f>IF(D94="","-",+C106+1)</f>
        <v>2021</v>
      </c>
      <c r="D107" s="156">
        <f>IF(F106+SUM(E$100:E106)=D$93,F106,D$93-SUM(E$100:E106))</f>
        <v>8595664.4599704184</v>
      </c>
      <c r="E107" s="162">
        <f t="shared" si="13"/>
        <v>283836.05555555556</v>
      </c>
      <c r="F107" s="161">
        <f t="shared" si="14"/>
        <v>8311828.4044148624</v>
      </c>
      <c r="G107" s="161">
        <f t="shared" si="15"/>
        <v>8453746.4321926404</v>
      </c>
      <c r="H107" s="165">
        <f t="shared" si="16"/>
        <v>1176234.2330004438</v>
      </c>
      <c r="I107" s="299">
        <f t="shared" si="17"/>
        <v>1176234.2330004438</v>
      </c>
      <c r="J107" s="160">
        <f t="shared" si="12"/>
        <v>0</v>
      </c>
      <c r="K107" s="160"/>
      <c r="L107" s="316"/>
      <c r="M107" s="160">
        <f t="shared" si="18"/>
        <v>0</v>
      </c>
      <c r="N107" s="316"/>
      <c r="O107" s="160">
        <f t="shared" si="10"/>
        <v>0</v>
      </c>
      <c r="P107" s="160">
        <f t="shared" si="11"/>
        <v>0</v>
      </c>
      <c r="Q107" s="1"/>
      <c r="R107" s="1"/>
      <c r="S107" s="1"/>
      <c r="T107" s="1"/>
      <c r="U107" s="1"/>
    </row>
    <row r="108" spans="1:21">
      <c r="B108" t="str">
        <f t="shared" si="9"/>
        <v/>
      </c>
      <c r="C108" s="155">
        <f>IF(D94="","-",+C107+1)</f>
        <v>2022</v>
      </c>
      <c r="D108" s="156">
        <f>IF(F107+SUM(E$100:E107)=D$93,F107,D$93-SUM(E$100:E107))</f>
        <v>8311828.4044148624</v>
      </c>
      <c r="E108" s="162">
        <f t="shared" si="13"/>
        <v>283836.05555555556</v>
      </c>
      <c r="F108" s="161">
        <f t="shared" si="14"/>
        <v>8027992.3488593064</v>
      </c>
      <c r="G108" s="161">
        <f t="shared" si="15"/>
        <v>8169910.3766370844</v>
      </c>
      <c r="H108" s="165">
        <f t="shared" si="16"/>
        <v>1146271.8038333762</v>
      </c>
      <c r="I108" s="299">
        <f t="shared" si="17"/>
        <v>1146271.8038333762</v>
      </c>
      <c r="J108" s="160">
        <f t="shared" si="12"/>
        <v>0</v>
      </c>
      <c r="K108" s="160"/>
      <c r="L108" s="316"/>
      <c r="M108" s="160">
        <f t="shared" si="18"/>
        <v>0</v>
      </c>
      <c r="N108" s="316"/>
      <c r="O108" s="160">
        <f t="shared" si="10"/>
        <v>0</v>
      </c>
      <c r="P108" s="160">
        <f t="shared" si="11"/>
        <v>0</v>
      </c>
      <c r="Q108" s="1"/>
      <c r="R108" s="1"/>
      <c r="S108" s="1"/>
      <c r="T108" s="1"/>
      <c r="U108" s="1"/>
    </row>
    <row r="109" spans="1:21">
      <c r="B109" t="str">
        <f t="shared" si="9"/>
        <v/>
      </c>
      <c r="C109" s="155">
        <f>IF(D94="","-",+C108+1)</f>
        <v>2023</v>
      </c>
      <c r="D109" s="156">
        <f>IF(F108+SUM(E$100:E108)=D$93,F108,D$93-SUM(E$100:E108))</f>
        <v>8027992.3488593064</v>
      </c>
      <c r="E109" s="162">
        <f t="shared" si="13"/>
        <v>283836.05555555556</v>
      </c>
      <c r="F109" s="161">
        <f t="shared" si="14"/>
        <v>7744156.2933037505</v>
      </c>
      <c r="G109" s="161">
        <f t="shared" si="15"/>
        <v>7886074.3210815284</v>
      </c>
      <c r="H109" s="165">
        <f t="shared" si="16"/>
        <v>1116309.3746663083</v>
      </c>
      <c r="I109" s="299">
        <f t="shared" si="17"/>
        <v>1116309.3746663083</v>
      </c>
      <c r="J109" s="160">
        <f t="shared" si="12"/>
        <v>0</v>
      </c>
      <c r="K109" s="160"/>
      <c r="L109" s="316"/>
      <c r="M109" s="160">
        <f t="shared" si="18"/>
        <v>0</v>
      </c>
      <c r="N109" s="316"/>
      <c r="O109" s="160">
        <f t="shared" si="10"/>
        <v>0</v>
      </c>
      <c r="P109" s="160">
        <f t="shared" si="11"/>
        <v>0</v>
      </c>
      <c r="Q109" s="1"/>
      <c r="R109" s="1"/>
      <c r="S109" s="1"/>
      <c r="T109" s="1"/>
      <c r="U109" s="1"/>
    </row>
    <row r="110" spans="1:21">
      <c r="B110" t="str">
        <f t="shared" si="9"/>
        <v/>
      </c>
      <c r="C110" s="155">
        <f>IF(D94="","-",+C109+1)</f>
        <v>2024</v>
      </c>
      <c r="D110" s="156">
        <f>IF(F109+SUM(E$100:E109)=D$93,F109,D$93-SUM(E$100:E109))</f>
        <v>7744156.2933037505</v>
      </c>
      <c r="E110" s="162">
        <f t="shared" si="13"/>
        <v>283836.05555555556</v>
      </c>
      <c r="F110" s="161">
        <f t="shared" si="14"/>
        <v>7460320.2377481945</v>
      </c>
      <c r="G110" s="161">
        <f t="shared" si="15"/>
        <v>7602238.2655259725</v>
      </c>
      <c r="H110" s="165">
        <f t="shared" si="16"/>
        <v>1086346.9454992404</v>
      </c>
      <c r="I110" s="299">
        <f t="shared" si="17"/>
        <v>1086346.9454992404</v>
      </c>
      <c r="J110" s="160">
        <f t="shared" si="12"/>
        <v>0</v>
      </c>
      <c r="K110" s="160"/>
      <c r="L110" s="316"/>
      <c r="M110" s="160">
        <f t="shared" si="18"/>
        <v>0</v>
      </c>
      <c r="N110" s="316"/>
      <c r="O110" s="160">
        <f t="shared" si="10"/>
        <v>0</v>
      </c>
      <c r="P110" s="160">
        <f t="shared" si="11"/>
        <v>0</v>
      </c>
      <c r="Q110" s="1"/>
      <c r="R110" s="1"/>
      <c r="S110" s="1"/>
      <c r="T110" s="1"/>
      <c r="U110" s="1"/>
    </row>
    <row r="111" spans="1:21">
      <c r="B111" t="str">
        <f t="shared" si="9"/>
        <v/>
      </c>
      <c r="C111" s="155">
        <f>IF(D94="","-",+C110+1)</f>
        <v>2025</v>
      </c>
      <c r="D111" s="156">
        <f>IF(F110+SUM(E$100:E110)=D$93,F110,D$93-SUM(E$100:E110))</f>
        <v>7460320.2377481945</v>
      </c>
      <c r="E111" s="162">
        <f t="shared" si="13"/>
        <v>283836.05555555556</v>
      </c>
      <c r="F111" s="161">
        <f t="shared" si="14"/>
        <v>7176484.1821926385</v>
      </c>
      <c r="G111" s="161">
        <f t="shared" si="15"/>
        <v>7318402.2099704165</v>
      </c>
      <c r="H111" s="165">
        <f t="shared" si="16"/>
        <v>1056384.5163321726</v>
      </c>
      <c r="I111" s="299">
        <f t="shared" si="17"/>
        <v>1056384.5163321726</v>
      </c>
      <c r="J111" s="160">
        <f t="shared" si="12"/>
        <v>0</v>
      </c>
      <c r="K111" s="160"/>
      <c r="L111" s="316"/>
      <c r="M111" s="160">
        <f t="shared" si="18"/>
        <v>0</v>
      </c>
      <c r="N111" s="316"/>
      <c r="O111" s="160">
        <f t="shared" si="10"/>
        <v>0</v>
      </c>
      <c r="P111" s="160">
        <f t="shared" si="11"/>
        <v>0</v>
      </c>
      <c r="Q111" s="1"/>
      <c r="R111" s="1"/>
      <c r="S111" s="1"/>
      <c r="T111" s="1"/>
      <c r="U111" s="1"/>
    </row>
    <row r="112" spans="1:21">
      <c r="B112" t="str">
        <f t="shared" si="9"/>
        <v/>
      </c>
      <c r="C112" s="155">
        <f>IF(D94="","-",+C111+1)</f>
        <v>2026</v>
      </c>
      <c r="D112" s="156">
        <f>IF(F111+SUM(E$100:E111)=D$93,F111,D$93-SUM(E$100:E111))</f>
        <v>7176484.1821926385</v>
      </c>
      <c r="E112" s="162">
        <f t="shared" si="13"/>
        <v>283836.05555555556</v>
      </c>
      <c r="F112" s="161">
        <f t="shared" si="14"/>
        <v>6892648.1266370825</v>
      </c>
      <c r="G112" s="161">
        <f t="shared" si="15"/>
        <v>7034566.1544148605</v>
      </c>
      <c r="H112" s="165">
        <f t="shared" si="16"/>
        <v>1026422.0871651049</v>
      </c>
      <c r="I112" s="299">
        <f t="shared" si="17"/>
        <v>1026422.0871651049</v>
      </c>
      <c r="J112" s="160">
        <f t="shared" si="12"/>
        <v>0</v>
      </c>
      <c r="K112" s="160"/>
      <c r="L112" s="316"/>
      <c r="M112" s="160">
        <f t="shared" si="18"/>
        <v>0</v>
      </c>
      <c r="N112" s="316"/>
      <c r="O112" s="160">
        <f t="shared" si="10"/>
        <v>0</v>
      </c>
      <c r="P112" s="160">
        <f t="shared" si="11"/>
        <v>0</v>
      </c>
      <c r="Q112" s="1"/>
      <c r="R112" s="1"/>
      <c r="S112" s="1"/>
      <c r="T112" s="1"/>
      <c r="U112" s="1"/>
    </row>
    <row r="113" spans="2:21">
      <c r="B113" t="str">
        <f t="shared" si="9"/>
        <v/>
      </c>
      <c r="C113" s="155">
        <f>IF(D94="","-",+C112+1)</f>
        <v>2027</v>
      </c>
      <c r="D113" s="156">
        <f>IF(F112+SUM(E$100:E112)=D$93,F112,D$93-SUM(E$100:E112))</f>
        <v>6892648.1266370825</v>
      </c>
      <c r="E113" s="162">
        <f t="shared" si="13"/>
        <v>283836.05555555556</v>
      </c>
      <c r="F113" s="161">
        <f t="shared" si="14"/>
        <v>6608812.0710815266</v>
      </c>
      <c r="G113" s="161">
        <f t="shared" si="15"/>
        <v>6750730.0988593046</v>
      </c>
      <c r="H113" s="165">
        <f t="shared" si="16"/>
        <v>996459.65799803706</v>
      </c>
      <c r="I113" s="299">
        <f t="shared" si="17"/>
        <v>996459.65799803706</v>
      </c>
      <c r="J113" s="160">
        <f t="shared" si="12"/>
        <v>0</v>
      </c>
      <c r="K113" s="160"/>
      <c r="L113" s="316"/>
      <c r="M113" s="160">
        <f t="shared" si="18"/>
        <v>0</v>
      </c>
      <c r="N113" s="316"/>
      <c r="O113" s="160">
        <f t="shared" si="10"/>
        <v>0</v>
      </c>
      <c r="P113" s="160">
        <f t="shared" si="11"/>
        <v>0</v>
      </c>
      <c r="Q113" s="1"/>
      <c r="R113" s="1"/>
      <c r="S113" s="1"/>
      <c r="T113" s="1"/>
      <c r="U113" s="1"/>
    </row>
    <row r="114" spans="2:21">
      <c r="B114" t="str">
        <f t="shared" si="9"/>
        <v/>
      </c>
      <c r="C114" s="155">
        <f>IF(D94="","-",+C113+1)</f>
        <v>2028</v>
      </c>
      <c r="D114" s="156">
        <f>IF(F113+SUM(E$100:E113)=D$93,F113,D$93-SUM(E$100:E113))</f>
        <v>6608812.0710815266</v>
      </c>
      <c r="E114" s="162">
        <f t="shared" si="13"/>
        <v>283836.05555555556</v>
      </c>
      <c r="F114" s="161">
        <f t="shared" si="14"/>
        <v>6324976.0155259706</v>
      </c>
      <c r="G114" s="161">
        <f t="shared" si="15"/>
        <v>6466894.0433037486</v>
      </c>
      <c r="H114" s="165">
        <f t="shared" si="16"/>
        <v>966497.22883096919</v>
      </c>
      <c r="I114" s="299">
        <f t="shared" si="17"/>
        <v>966497.22883096919</v>
      </c>
      <c r="J114" s="160">
        <f t="shared" si="12"/>
        <v>0</v>
      </c>
      <c r="K114" s="160"/>
      <c r="L114" s="316"/>
      <c r="M114" s="160">
        <f t="shared" si="18"/>
        <v>0</v>
      </c>
      <c r="N114" s="316"/>
      <c r="O114" s="160">
        <f t="shared" si="10"/>
        <v>0</v>
      </c>
      <c r="P114" s="160">
        <f t="shared" si="11"/>
        <v>0</v>
      </c>
      <c r="Q114" s="1"/>
      <c r="R114" s="1"/>
      <c r="S114" s="1"/>
      <c r="T114" s="1"/>
      <c r="U114" s="1"/>
    </row>
    <row r="115" spans="2:21">
      <c r="B115" t="str">
        <f t="shared" si="9"/>
        <v/>
      </c>
      <c r="C115" s="155">
        <f>IF(D94="","-",+C114+1)</f>
        <v>2029</v>
      </c>
      <c r="D115" s="156">
        <f>IF(F114+SUM(E$100:E114)=D$93,F114,D$93-SUM(E$100:E114))</f>
        <v>6324976.0155259706</v>
      </c>
      <c r="E115" s="162">
        <f t="shared" si="13"/>
        <v>283836.05555555556</v>
      </c>
      <c r="F115" s="161">
        <f t="shared" si="14"/>
        <v>6041139.9599704146</v>
      </c>
      <c r="G115" s="161">
        <f t="shared" si="15"/>
        <v>6183057.9877481926</v>
      </c>
      <c r="H115" s="165">
        <f t="shared" si="16"/>
        <v>936534.79966390133</v>
      </c>
      <c r="I115" s="299">
        <f t="shared" si="17"/>
        <v>936534.79966390133</v>
      </c>
      <c r="J115" s="160">
        <f t="shared" si="12"/>
        <v>0</v>
      </c>
      <c r="K115" s="160"/>
      <c r="L115" s="316"/>
      <c r="M115" s="160">
        <f t="shared" si="18"/>
        <v>0</v>
      </c>
      <c r="N115" s="316"/>
      <c r="O115" s="160">
        <f t="shared" si="10"/>
        <v>0</v>
      </c>
      <c r="P115" s="160">
        <f t="shared" si="11"/>
        <v>0</v>
      </c>
      <c r="Q115" s="1"/>
      <c r="R115" s="1"/>
      <c r="S115" s="1"/>
      <c r="T115" s="1"/>
      <c r="U115" s="1"/>
    </row>
    <row r="116" spans="2:21">
      <c r="B116" t="str">
        <f t="shared" si="9"/>
        <v/>
      </c>
      <c r="C116" s="155">
        <f>IF(D94="","-",+C115+1)</f>
        <v>2030</v>
      </c>
      <c r="D116" s="156">
        <f>IF(F115+SUM(E$100:E115)=D$93,F115,D$93-SUM(E$100:E115))</f>
        <v>6041139.9599704146</v>
      </c>
      <c r="E116" s="162">
        <f t="shared" si="13"/>
        <v>283836.05555555556</v>
      </c>
      <c r="F116" s="161">
        <f t="shared" si="14"/>
        <v>5757303.9044148587</v>
      </c>
      <c r="G116" s="161">
        <f t="shared" si="15"/>
        <v>5899221.9321926367</v>
      </c>
      <c r="H116" s="165">
        <f t="shared" si="16"/>
        <v>906572.37049683346</v>
      </c>
      <c r="I116" s="299">
        <f t="shared" si="17"/>
        <v>906572.37049683346</v>
      </c>
      <c r="J116" s="160">
        <f t="shared" si="12"/>
        <v>0</v>
      </c>
      <c r="K116" s="160"/>
      <c r="L116" s="316"/>
      <c r="M116" s="160">
        <f t="shared" si="18"/>
        <v>0</v>
      </c>
      <c r="N116" s="316"/>
      <c r="O116" s="160">
        <f t="shared" si="10"/>
        <v>0</v>
      </c>
      <c r="P116" s="160">
        <f t="shared" si="11"/>
        <v>0</v>
      </c>
      <c r="Q116" s="1"/>
      <c r="R116" s="1"/>
      <c r="S116" s="1"/>
      <c r="T116" s="1"/>
      <c r="U116" s="1"/>
    </row>
    <row r="117" spans="2:21">
      <c r="B117" t="str">
        <f t="shared" si="9"/>
        <v/>
      </c>
      <c r="C117" s="155">
        <f>IF(D94="","-",+C116+1)</f>
        <v>2031</v>
      </c>
      <c r="D117" s="156">
        <f>IF(F116+SUM(E$100:E116)=D$93,F116,D$93-SUM(E$100:E116))</f>
        <v>5757303.9044148587</v>
      </c>
      <c r="E117" s="162">
        <f t="shared" si="13"/>
        <v>283836.05555555556</v>
      </c>
      <c r="F117" s="161">
        <f t="shared" si="14"/>
        <v>5473467.8488593027</v>
      </c>
      <c r="G117" s="161">
        <f t="shared" si="15"/>
        <v>5615385.8766370807</v>
      </c>
      <c r="H117" s="165">
        <f t="shared" si="16"/>
        <v>876609.94132976583</v>
      </c>
      <c r="I117" s="299">
        <f t="shared" si="17"/>
        <v>876609.94132976583</v>
      </c>
      <c r="J117" s="160">
        <f t="shared" si="12"/>
        <v>0</v>
      </c>
      <c r="K117" s="160"/>
      <c r="L117" s="316"/>
      <c r="M117" s="160">
        <f t="shared" si="18"/>
        <v>0</v>
      </c>
      <c r="N117" s="316"/>
      <c r="O117" s="160">
        <f t="shared" si="10"/>
        <v>0</v>
      </c>
      <c r="P117" s="160">
        <f t="shared" si="11"/>
        <v>0</v>
      </c>
      <c r="Q117" s="1"/>
      <c r="R117" s="1"/>
      <c r="S117" s="1"/>
      <c r="T117" s="1"/>
      <c r="U117" s="1"/>
    </row>
    <row r="118" spans="2:21">
      <c r="B118" t="str">
        <f t="shared" si="9"/>
        <v/>
      </c>
      <c r="C118" s="155">
        <f>IF(D94="","-",+C117+1)</f>
        <v>2032</v>
      </c>
      <c r="D118" s="156">
        <f>IF(F117+SUM(E$100:E117)=D$93,F117,D$93-SUM(E$100:E117))</f>
        <v>5473467.8488593027</v>
      </c>
      <c r="E118" s="162">
        <f t="shared" si="13"/>
        <v>283836.05555555556</v>
      </c>
      <c r="F118" s="161">
        <f t="shared" si="14"/>
        <v>5189631.7933037467</v>
      </c>
      <c r="G118" s="161">
        <f t="shared" si="15"/>
        <v>5331549.8210815247</v>
      </c>
      <c r="H118" s="165">
        <f t="shared" si="16"/>
        <v>846647.51216269797</v>
      </c>
      <c r="I118" s="299">
        <f t="shared" si="17"/>
        <v>846647.51216269797</v>
      </c>
      <c r="J118" s="160">
        <f t="shared" si="12"/>
        <v>0</v>
      </c>
      <c r="K118" s="160"/>
      <c r="L118" s="316"/>
      <c r="M118" s="160">
        <f t="shared" si="18"/>
        <v>0</v>
      </c>
      <c r="N118" s="316"/>
      <c r="O118" s="160">
        <f t="shared" si="10"/>
        <v>0</v>
      </c>
      <c r="P118" s="160">
        <f t="shared" si="11"/>
        <v>0</v>
      </c>
      <c r="Q118" s="1"/>
      <c r="R118" s="1"/>
      <c r="S118" s="1"/>
      <c r="T118" s="1"/>
      <c r="U118" s="1"/>
    </row>
    <row r="119" spans="2:21">
      <c r="B119" t="str">
        <f t="shared" si="9"/>
        <v/>
      </c>
      <c r="C119" s="155">
        <f>IF(D94="","-",+C118+1)</f>
        <v>2033</v>
      </c>
      <c r="D119" s="156">
        <f>IF(F118+SUM(E$100:E118)=D$93,F118,D$93-SUM(E$100:E118))</f>
        <v>5189631.7933037467</v>
      </c>
      <c r="E119" s="162">
        <f t="shared" si="13"/>
        <v>283836.05555555556</v>
      </c>
      <c r="F119" s="161">
        <f t="shared" si="14"/>
        <v>4905795.7377481908</v>
      </c>
      <c r="G119" s="161">
        <f t="shared" si="15"/>
        <v>5047713.7655259687</v>
      </c>
      <c r="H119" s="165">
        <f t="shared" si="16"/>
        <v>816685.0829956301</v>
      </c>
      <c r="I119" s="299">
        <f t="shared" si="17"/>
        <v>816685.0829956301</v>
      </c>
      <c r="J119" s="160">
        <f t="shared" si="12"/>
        <v>0</v>
      </c>
      <c r="K119" s="160"/>
      <c r="L119" s="316"/>
      <c r="M119" s="160">
        <f t="shared" si="18"/>
        <v>0</v>
      </c>
      <c r="N119" s="316"/>
      <c r="O119" s="160">
        <f t="shared" si="10"/>
        <v>0</v>
      </c>
      <c r="P119" s="160">
        <f t="shared" si="11"/>
        <v>0</v>
      </c>
      <c r="Q119" s="1"/>
      <c r="R119" s="1"/>
      <c r="S119" s="1"/>
      <c r="T119" s="1"/>
      <c r="U119" s="1"/>
    </row>
    <row r="120" spans="2:21">
      <c r="B120" t="str">
        <f t="shared" si="9"/>
        <v/>
      </c>
      <c r="C120" s="155">
        <f>IF(D94="","-",+C119+1)</f>
        <v>2034</v>
      </c>
      <c r="D120" s="156">
        <f>IF(F119+SUM(E$100:E119)=D$93,F119,D$93-SUM(E$100:E119))</f>
        <v>4905795.7377481908</v>
      </c>
      <c r="E120" s="162">
        <f t="shared" si="13"/>
        <v>283836.05555555556</v>
      </c>
      <c r="F120" s="161">
        <f t="shared" si="14"/>
        <v>4621959.6821926348</v>
      </c>
      <c r="G120" s="161">
        <f t="shared" si="15"/>
        <v>4763877.7099704128</v>
      </c>
      <c r="H120" s="165">
        <f t="shared" si="16"/>
        <v>786722.65382856235</v>
      </c>
      <c r="I120" s="299">
        <f t="shared" si="17"/>
        <v>786722.65382856235</v>
      </c>
      <c r="J120" s="160">
        <f t="shared" si="12"/>
        <v>0</v>
      </c>
      <c r="K120" s="160"/>
      <c r="L120" s="316"/>
      <c r="M120" s="160">
        <f t="shared" si="18"/>
        <v>0</v>
      </c>
      <c r="N120" s="316"/>
      <c r="O120" s="160">
        <f t="shared" si="10"/>
        <v>0</v>
      </c>
      <c r="P120" s="160">
        <f t="shared" si="11"/>
        <v>0</v>
      </c>
      <c r="Q120" s="1"/>
      <c r="R120" s="1"/>
      <c r="S120" s="1"/>
      <c r="T120" s="1"/>
      <c r="U120" s="1"/>
    </row>
    <row r="121" spans="2:21">
      <c r="B121" t="str">
        <f t="shared" si="9"/>
        <v/>
      </c>
      <c r="C121" s="155">
        <f>IF(D94="","-",+C120+1)</f>
        <v>2035</v>
      </c>
      <c r="D121" s="156">
        <f>IF(F120+SUM(E$100:E120)=D$93,F120,D$93-SUM(E$100:E120))</f>
        <v>4621959.6821926348</v>
      </c>
      <c r="E121" s="162">
        <f t="shared" si="13"/>
        <v>283836.05555555556</v>
      </c>
      <c r="F121" s="161">
        <f t="shared" si="14"/>
        <v>4338123.6266370788</v>
      </c>
      <c r="G121" s="161">
        <f t="shared" si="15"/>
        <v>4480041.6544148568</v>
      </c>
      <c r="H121" s="165">
        <f t="shared" si="16"/>
        <v>756760.22466149461</v>
      </c>
      <c r="I121" s="299">
        <f t="shared" si="17"/>
        <v>756760.22466149461</v>
      </c>
      <c r="J121" s="160">
        <f t="shared" si="12"/>
        <v>0</v>
      </c>
      <c r="K121" s="160"/>
      <c r="L121" s="316"/>
      <c r="M121" s="160">
        <f t="shared" si="18"/>
        <v>0</v>
      </c>
      <c r="N121" s="316"/>
      <c r="O121" s="160">
        <f t="shared" si="10"/>
        <v>0</v>
      </c>
      <c r="P121" s="160">
        <f t="shared" si="11"/>
        <v>0</v>
      </c>
      <c r="Q121" s="1"/>
      <c r="R121" s="1"/>
      <c r="S121" s="1"/>
      <c r="T121" s="1"/>
      <c r="U121" s="1"/>
    </row>
    <row r="122" spans="2:21">
      <c r="B122" t="str">
        <f t="shared" si="9"/>
        <v/>
      </c>
      <c r="C122" s="155">
        <f>IF(D94="","-",+C121+1)</f>
        <v>2036</v>
      </c>
      <c r="D122" s="156">
        <f>IF(F121+SUM(E$100:E121)=D$93,F121,D$93-SUM(E$100:E121))</f>
        <v>4338123.6266370788</v>
      </c>
      <c r="E122" s="162">
        <f t="shared" si="13"/>
        <v>283836.05555555556</v>
      </c>
      <c r="F122" s="161">
        <f t="shared" si="14"/>
        <v>4054287.5710815233</v>
      </c>
      <c r="G122" s="161">
        <f t="shared" si="15"/>
        <v>4196205.5988593008</v>
      </c>
      <c r="H122" s="165">
        <f t="shared" si="16"/>
        <v>726797.79549442674</v>
      </c>
      <c r="I122" s="299">
        <f t="shared" si="17"/>
        <v>726797.79549442674</v>
      </c>
      <c r="J122" s="160">
        <f t="shared" si="12"/>
        <v>0</v>
      </c>
      <c r="K122" s="160"/>
      <c r="L122" s="316"/>
      <c r="M122" s="160">
        <f t="shared" si="18"/>
        <v>0</v>
      </c>
      <c r="N122" s="316"/>
      <c r="O122" s="160">
        <f t="shared" si="10"/>
        <v>0</v>
      </c>
      <c r="P122" s="160">
        <f t="shared" si="11"/>
        <v>0</v>
      </c>
      <c r="Q122" s="1"/>
      <c r="R122" s="1"/>
      <c r="S122" s="1"/>
      <c r="T122" s="1"/>
      <c r="U122" s="1"/>
    </row>
    <row r="123" spans="2:21">
      <c r="B123" t="str">
        <f t="shared" si="9"/>
        <v/>
      </c>
      <c r="C123" s="155">
        <f>IF(D94="","-",+C122+1)</f>
        <v>2037</v>
      </c>
      <c r="D123" s="156">
        <f>IF(F122+SUM(E$100:E122)=D$93,F122,D$93-SUM(E$100:E122))</f>
        <v>4054287.5710815233</v>
      </c>
      <c r="E123" s="162">
        <f t="shared" si="13"/>
        <v>283836.05555555556</v>
      </c>
      <c r="F123" s="161">
        <f t="shared" si="14"/>
        <v>3770451.5155259678</v>
      </c>
      <c r="G123" s="161">
        <f t="shared" si="15"/>
        <v>3912369.5433037458</v>
      </c>
      <c r="H123" s="165">
        <f t="shared" si="16"/>
        <v>696835.36632735899</v>
      </c>
      <c r="I123" s="299">
        <f t="shared" si="17"/>
        <v>696835.36632735899</v>
      </c>
      <c r="J123" s="160">
        <f t="shared" si="12"/>
        <v>0</v>
      </c>
      <c r="K123" s="160"/>
      <c r="L123" s="316"/>
      <c r="M123" s="160">
        <f t="shared" si="18"/>
        <v>0</v>
      </c>
      <c r="N123" s="316"/>
      <c r="O123" s="160">
        <f t="shared" si="10"/>
        <v>0</v>
      </c>
      <c r="P123" s="160">
        <f t="shared" si="11"/>
        <v>0</v>
      </c>
      <c r="Q123" s="1"/>
      <c r="R123" s="1"/>
      <c r="S123" s="1"/>
      <c r="T123" s="1"/>
      <c r="U123" s="1"/>
    </row>
    <row r="124" spans="2:21">
      <c r="B124" t="str">
        <f t="shared" si="9"/>
        <v/>
      </c>
      <c r="C124" s="155">
        <f>IF(D94="","-",+C123+1)</f>
        <v>2038</v>
      </c>
      <c r="D124" s="156">
        <f>IF(F123+SUM(E$100:E123)=D$93,F123,D$93-SUM(E$100:E123))</f>
        <v>3770451.5155259678</v>
      </c>
      <c r="E124" s="162">
        <f t="shared" si="13"/>
        <v>283836.05555555556</v>
      </c>
      <c r="F124" s="161">
        <f t="shared" si="14"/>
        <v>3486615.4599704123</v>
      </c>
      <c r="G124" s="161">
        <f t="shared" si="15"/>
        <v>3628533.4877481898</v>
      </c>
      <c r="H124" s="165">
        <f t="shared" si="16"/>
        <v>666872.93716029124</v>
      </c>
      <c r="I124" s="299">
        <f t="shared" si="17"/>
        <v>666872.93716029124</v>
      </c>
      <c r="J124" s="160">
        <f t="shared" si="12"/>
        <v>0</v>
      </c>
      <c r="K124" s="160"/>
      <c r="L124" s="316"/>
      <c r="M124" s="160">
        <f t="shared" si="18"/>
        <v>0</v>
      </c>
      <c r="N124" s="316"/>
      <c r="O124" s="160">
        <f t="shared" si="10"/>
        <v>0</v>
      </c>
      <c r="P124" s="160">
        <f t="shared" si="11"/>
        <v>0</v>
      </c>
      <c r="Q124" s="1"/>
      <c r="R124" s="1"/>
      <c r="S124" s="1"/>
      <c r="T124" s="1"/>
      <c r="U124" s="1"/>
    </row>
    <row r="125" spans="2:21">
      <c r="B125" t="str">
        <f t="shared" si="9"/>
        <v/>
      </c>
      <c r="C125" s="155">
        <f>IF(D94="","-",+C124+1)</f>
        <v>2039</v>
      </c>
      <c r="D125" s="156">
        <f>IF(F124+SUM(E$100:E124)=D$93,F124,D$93-SUM(E$100:E124))</f>
        <v>3486615.4599704123</v>
      </c>
      <c r="E125" s="162">
        <f t="shared" si="13"/>
        <v>283836.05555555556</v>
      </c>
      <c r="F125" s="161">
        <f t="shared" si="14"/>
        <v>3202779.4044148568</v>
      </c>
      <c r="G125" s="161">
        <f t="shared" si="15"/>
        <v>3344697.4321926348</v>
      </c>
      <c r="H125" s="165">
        <f t="shared" si="16"/>
        <v>636910.50799322349</v>
      </c>
      <c r="I125" s="299">
        <f t="shared" si="17"/>
        <v>636910.50799322349</v>
      </c>
      <c r="J125" s="160">
        <f t="shared" si="12"/>
        <v>0</v>
      </c>
      <c r="K125" s="160"/>
      <c r="L125" s="316"/>
      <c r="M125" s="160">
        <f t="shared" si="18"/>
        <v>0</v>
      </c>
      <c r="N125" s="316"/>
      <c r="O125" s="160">
        <f t="shared" si="10"/>
        <v>0</v>
      </c>
      <c r="P125" s="160">
        <f t="shared" si="11"/>
        <v>0</v>
      </c>
      <c r="Q125" s="1"/>
      <c r="R125" s="1"/>
      <c r="S125" s="1"/>
      <c r="T125" s="1"/>
      <c r="U125" s="1"/>
    </row>
    <row r="126" spans="2:21">
      <c r="B126" t="str">
        <f t="shared" si="9"/>
        <v/>
      </c>
      <c r="C126" s="155">
        <f>IF(D94="","-",+C125+1)</f>
        <v>2040</v>
      </c>
      <c r="D126" s="156">
        <f>IF(F125+SUM(E$100:E125)=D$93,F125,D$93-SUM(E$100:E125))</f>
        <v>3202779.4044148568</v>
      </c>
      <c r="E126" s="162">
        <f t="shared" si="13"/>
        <v>283836.05555555556</v>
      </c>
      <c r="F126" s="161">
        <f t="shared" si="14"/>
        <v>2918943.3488593013</v>
      </c>
      <c r="G126" s="161">
        <f t="shared" si="15"/>
        <v>3060861.3766370788</v>
      </c>
      <c r="H126" s="165">
        <f t="shared" si="16"/>
        <v>606948.07882615575</v>
      </c>
      <c r="I126" s="299">
        <f t="shared" si="17"/>
        <v>606948.07882615575</v>
      </c>
      <c r="J126" s="160">
        <f t="shared" si="12"/>
        <v>0</v>
      </c>
      <c r="K126" s="160"/>
      <c r="L126" s="316"/>
      <c r="M126" s="160">
        <f t="shared" si="18"/>
        <v>0</v>
      </c>
      <c r="N126" s="316"/>
      <c r="O126" s="160">
        <f t="shared" si="10"/>
        <v>0</v>
      </c>
      <c r="P126" s="160">
        <f t="shared" si="11"/>
        <v>0</v>
      </c>
      <c r="Q126" s="1"/>
      <c r="R126" s="1"/>
      <c r="S126" s="1"/>
      <c r="T126" s="1"/>
      <c r="U126" s="1"/>
    </row>
    <row r="127" spans="2:21">
      <c r="B127" t="str">
        <f t="shared" si="9"/>
        <v/>
      </c>
      <c r="C127" s="155">
        <f>IF(D94="","-",+C126+1)</f>
        <v>2041</v>
      </c>
      <c r="D127" s="156">
        <f>IF(F126+SUM(E$100:E126)=D$93,F126,D$93-SUM(E$100:E126))</f>
        <v>2918943.3488593013</v>
      </c>
      <c r="E127" s="162">
        <f t="shared" si="13"/>
        <v>283836.05555555556</v>
      </c>
      <c r="F127" s="161">
        <f t="shared" si="14"/>
        <v>2635107.2933037458</v>
      </c>
      <c r="G127" s="161">
        <f t="shared" si="15"/>
        <v>2777025.3210815238</v>
      </c>
      <c r="H127" s="165">
        <f t="shared" si="16"/>
        <v>576985.64965908788</v>
      </c>
      <c r="I127" s="299">
        <f t="shared" si="17"/>
        <v>576985.64965908788</v>
      </c>
      <c r="J127" s="160">
        <f t="shared" si="12"/>
        <v>0</v>
      </c>
      <c r="K127" s="160"/>
      <c r="L127" s="316"/>
      <c r="M127" s="160">
        <f t="shared" si="18"/>
        <v>0</v>
      </c>
      <c r="N127" s="316"/>
      <c r="O127" s="160">
        <f t="shared" si="10"/>
        <v>0</v>
      </c>
      <c r="P127" s="160">
        <f t="shared" si="11"/>
        <v>0</v>
      </c>
      <c r="Q127" s="1"/>
      <c r="R127" s="1"/>
      <c r="S127" s="1"/>
      <c r="T127" s="1"/>
      <c r="U127" s="1"/>
    </row>
    <row r="128" spans="2:21">
      <c r="B128" t="str">
        <f t="shared" si="9"/>
        <v/>
      </c>
      <c r="C128" s="155">
        <f>IF(D94="","-",+C127+1)</f>
        <v>2042</v>
      </c>
      <c r="D128" s="156">
        <f>IF(F127+SUM(E$100:E127)=D$93,F127,D$93-SUM(E$100:E127))</f>
        <v>2635107.2933037458</v>
      </c>
      <c r="E128" s="162">
        <f t="shared" si="13"/>
        <v>283836.05555555556</v>
      </c>
      <c r="F128" s="161">
        <f t="shared" si="14"/>
        <v>2351271.2377481903</v>
      </c>
      <c r="G128" s="161">
        <f t="shared" si="15"/>
        <v>2493189.2655259678</v>
      </c>
      <c r="H128" s="165">
        <f t="shared" si="16"/>
        <v>547023.22049202013</v>
      </c>
      <c r="I128" s="299">
        <f t="shared" si="17"/>
        <v>547023.22049202013</v>
      </c>
      <c r="J128" s="160">
        <f t="shared" si="12"/>
        <v>0</v>
      </c>
      <c r="K128" s="160"/>
      <c r="L128" s="316"/>
      <c r="M128" s="160">
        <f t="shared" si="18"/>
        <v>0</v>
      </c>
      <c r="N128" s="316"/>
      <c r="O128" s="160">
        <f t="shared" si="10"/>
        <v>0</v>
      </c>
      <c r="P128" s="160">
        <f t="shared" si="11"/>
        <v>0</v>
      </c>
      <c r="Q128" s="1"/>
      <c r="R128" s="1"/>
      <c r="S128" s="1"/>
      <c r="T128" s="1"/>
      <c r="U128" s="1"/>
    </row>
    <row r="129" spans="2:21">
      <c r="B129" t="str">
        <f t="shared" si="9"/>
        <v/>
      </c>
      <c r="C129" s="155">
        <f>IF(D94="","-",+C128+1)</f>
        <v>2043</v>
      </c>
      <c r="D129" s="156">
        <f>IF(F128+SUM(E$100:E128)=D$93,F128,D$93-SUM(E$100:E128))</f>
        <v>2351271.2377481903</v>
      </c>
      <c r="E129" s="162">
        <f t="shared" si="13"/>
        <v>283836.05555555556</v>
      </c>
      <c r="F129" s="161">
        <f t="shared" si="14"/>
        <v>2067435.1821926348</v>
      </c>
      <c r="G129" s="161">
        <f t="shared" si="15"/>
        <v>2209353.2099704128</v>
      </c>
      <c r="H129" s="165">
        <f t="shared" si="16"/>
        <v>517060.79132495238</v>
      </c>
      <c r="I129" s="299">
        <f t="shared" si="17"/>
        <v>517060.79132495238</v>
      </c>
      <c r="J129" s="160">
        <f t="shared" si="12"/>
        <v>0</v>
      </c>
      <c r="K129" s="160"/>
      <c r="L129" s="316"/>
      <c r="M129" s="160">
        <f t="shared" si="18"/>
        <v>0</v>
      </c>
      <c r="N129" s="316"/>
      <c r="O129" s="160">
        <f t="shared" si="10"/>
        <v>0</v>
      </c>
      <c r="P129" s="160">
        <f t="shared" si="11"/>
        <v>0</v>
      </c>
      <c r="Q129" s="1"/>
      <c r="R129" s="1"/>
      <c r="S129" s="1"/>
      <c r="T129" s="1"/>
      <c r="U129" s="1"/>
    </row>
    <row r="130" spans="2:21">
      <c r="B130" t="str">
        <f t="shared" si="9"/>
        <v/>
      </c>
      <c r="C130" s="155">
        <f>IF(D94="","-",+C129+1)</f>
        <v>2044</v>
      </c>
      <c r="D130" s="156">
        <f>IF(F129+SUM(E$100:E129)=D$93,F129,D$93-SUM(E$100:E129))</f>
        <v>2067435.1821926348</v>
      </c>
      <c r="E130" s="162">
        <f t="shared" si="13"/>
        <v>283836.05555555556</v>
      </c>
      <c r="F130" s="161">
        <f t="shared" si="14"/>
        <v>1783599.1266370793</v>
      </c>
      <c r="G130" s="161">
        <f t="shared" si="15"/>
        <v>1925517.154414857</v>
      </c>
      <c r="H130" s="165">
        <f t="shared" si="16"/>
        <v>487098.36215788464</v>
      </c>
      <c r="I130" s="299">
        <f t="shared" si="17"/>
        <v>487098.36215788464</v>
      </c>
      <c r="J130" s="160">
        <f t="shared" si="12"/>
        <v>0</v>
      </c>
      <c r="K130" s="160"/>
      <c r="L130" s="316"/>
      <c r="M130" s="160">
        <f t="shared" si="18"/>
        <v>0</v>
      </c>
      <c r="N130" s="316"/>
      <c r="O130" s="160">
        <f t="shared" si="10"/>
        <v>0</v>
      </c>
      <c r="P130" s="160">
        <f t="shared" si="11"/>
        <v>0</v>
      </c>
      <c r="Q130" s="1"/>
      <c r="R130" s="1"/>
      <c r="S130" s="1"/>
      <c r="T130" s="1"/>
      <c r="U130" s="1"/>
    </row>
    <row r="131" spans="2:21">
      <c r="B131" t="str">
        <f t="shared" si="9"/>
        <v/>
      </c>
      <c r="C131" s="155">
        <f>IF(D94="","-",+C130+1)</f>
        <v>2045</v>
      </c>
      <c r="D131" s="156">
        <f>IF(F130+SUM(E$100:E130)=D$93,F130,D$93-SUM(E$100:E130))</f>
        <v>1783599.1266370793</v>
      </c>
      <c r="E131" s="162">
        <f t="shared" si="13"/>
        <v>283836.05555555556</v>
      </c>
      <c r="F131" s="161">
        <f t="shared" si="14"/>
        <v>1499763.0710815238</v>
      </c>
      <c r="G131" s="161">
        <f t="shared" si="15"/>
        <v>1641681.0988593015</v>
      </c>
      <c r="H131" s="165">
        <f t="shared" si="16"/>
        <v>457135.93299081689</v>
      </c>
      <c r="I131" s="299">
        <f t="shared" si="17"/>
        <v>457135.93299081689</v>
      </c>
      <c r="J131" s="160">
        <f t="shared" si="12"/>
        <v>0</v>
      </c>
      <c r="K131" s="160"/>
      <c r="L131" s="316"/>
      <c r="M131" s="160">
        <f t="shared" si="18"/>
        <v>0</v>
      </c>
      <c r="N131" s="316"/>
      <c r="O131" s="160">
        <f t="shared" si="10"/>
        <v>0</v>
      </c>
      <c r="P131" s="160">
        <f t="shared" si="11"/>
        <v>0</v>
      </c>
      <c r="Q131" s="1"/>
      <c r="R131" s="1"/>
      <c r="S131" s="1"/>
      <c r="T131" s="1"/>
      <c r="U131" s="1"/>
    </row>
    <row r="132" spans="2:21">
      <c r="B132" t="str">
        <f t="shared" si="9"/>
        <v/>
      </c>
      <c r="C132" s="155">
        <f>IF(D94="","-",+C131+1)</f>
        <v>2046</v>
      </c>
      <c r="D132" s="156">
        <f>IF(F131+SUM(E$100:E131)=D$93,F131,D$93-SUM(E$100:E131))</f>
        <v>1499763.0710815238</v>
      </c>
      <c r="E132" s="162">
        <f t="shared" si="13"/>
        <v>283836.05555555556</v>
      </c>
      <c r="F132" s="161">
        <f t="shared" si="14"/>
        <v>1215927.0155259683</v>
      </c>
      <c r="G132" s="161">
        <f t="shared" si="15"/>
        <v>1357845.043303746</v>
      </c>
      <c r="H132" s="165">
        <f t="shared" si="16"/>
        <v>427173.50382374914</v>
      </c>
      <c r="I132" s="299">
        <f t="shared" si="17"/>
        <v>427173.50382374914</v>
      </c>
      <c r="J132" s="160">
        <f t="shared" si="12"/>
        <v>0</v>
      </c>
      <c r="K132" s="160"/>
      <c r="L132" s="316"/>
      <c r="M132" s="160">
        <f t="shared" ref="M132:M155" si="19">IF(L542&lt;&gt;0,+H542-L542,0)</f>
        <v>0</v>
      </c>
      <c r="N132" s="316"/>
      <c r="O132" s="160">
        <f t="shared" ref="O132:O155" si="20">IF(N542&lt;&gt;0,+I542-N542,0)</f>
        <v>0</v>
      </c>
      <c r="P132" s="160">
        <f t="shared" ref="P132:P155" si="21">+O542-M542</f>
        <v>0</v>
      </c>
      <c r="Q132" s="1"/>
      <c r="R132" s="1"/>
      <c r="S132" s="1"/>
      <c r="T132" s="1"/>
      <c r="U132" s="1"/>
    </row>
    <row r="133" spans="2:21">
      <c r="B133" t="str">
        <f t="shared" si="9"/>
        <v/>
      </c>
      <c r="C133" s="155">
        <f>IF(D94="","-",+C132+1)</f>
        <v>2047</v>
      </c>
      <c r="D133" s="156">
        <f>IF(F132+SUM(E$100:E132)=D$93,F132,D$93-SUM(E$100:E132))</f>
        <v>1215927.0155259683</v>
      </c>
      <c r="E133" s="162">
        <f t="shared" si="13"/>
        <v>283836.05555555556</v>
      </c>
      <c r="F133" s="161">
        <f t="shared" si="14"/>
        <v>932090.95997041278</v>
      </c>
      <c r="G133" s="161">
        <f t="shared" si="15"/>
        <v>1074008.9877481905</v>
      </c>
      <c r="H133" s="165">
        <f t="shared" si="16"/>
        <v>397211.07465668133</v>
      </c>
      <c r="I133" s="299">
        <f t="shared" si="17"/>
        <v>397211.07465668133</v>
      </c>
      <c r="J133" s="160">
        <f t="shared" si="12"/>
        <v>0</v>
      </c>
      <c r="K133" s="160"/>
      <c r="L133" s="316"/>
      <c r="M133" s="160">
        <f t="shared" si="19"/>
        <v>0</v>
      </c>
      <c r="N133" s="316"/>
      <c r="O133" s="160">
        <f t="shared" si="20"/>
        <v>0</v>
      </c>
      <c r="P133" s="160">
        <f t="shared" si="21"/>
        <v>0</v>
      </c>
      <c r="Q133" s="1"/>
      <c r="R133" s="1"/>
      <c r="S133" s="1"/>
      <c r="T133" s="1"/>
      <c r="U133" s="1"/>
    </row>
    <row r="134" spans="2:21">
      <c r="B134" t="str">
        <f t="shared" si="9"/>
        <v/>
      </c>
      <c r="C134" s="155">
        <f>IF(D94="","-",+C133+1)</f>
        <v>2048</v>
      </c>
      <c r="D134" s="156">
        <f>IF(F133+SUM(E$100:E133)=D$93,F133,D$93-SUM(E$100:E133))</f>
        <v>932090.95997041278</v>
      </c>
      <c r="E134" s="162">
        <f t="shared" si="13"/>
        <v>283836.05555555556</v>
      </c>
      <c r="F134" s="161">
        <f t="shared" si="14"/>
        <v>648254.90441485727</v>
      </c>
      <c r="G134" s="161">
        <f t="shared" si="15"/>
        <v>790172.93219263502</v>
      </c>
      <c r="H134" s="165">
        <f t="shared" si="16"/>
        <v>367248.64548961358</v>
      </c>
      <c r="I134" s="299">
        <f t="shared" si="17"/>
        <v>367248.64548961358</v>
      </c>
      <c r="J134" s="160">
        <f t="shared" si="12"/>
        <v>0</v>
      </c>
      <c r="K134" s="160"/>
      <c r="L134" s="316"/>
      <c r="M134" s="160">
        <f t="shared" si="19"/>
        <v>0</v>
      </c>
      <c r="N134" s="316"/>
      <c r="O134" s="160">
        <f t="shared" si="20"/>
        <v>0</v>
      </c>
      <c r="P134" s="160">
        <f t="shared" si="21"/>
        <v>0</v>
      </c>
      <c r="Q134" s="1"/>
      <c r="R134" s="1"/>
      <c r="S134" s="1"/>
      <c r="T134" s="1"/>
      <c r="U134" s="1"/>
    </row>
    <row r="135" spans="2:21">
      <c r="B135" t="str">
        <f t="shared" si="9"/>
        <v/>
      </c>
      <c r="C135" s="155">
        <f>IF(D94="","-",+C134+1)</f>
        <v>2049</v>
      </c>
      <c r="D135" s="156">
        <f>IF(F134+SUM(E$100:E134)=D$93,F134,D$93-SUM(E$100:E134))</f>
        <v>648254.90441485727</v>
      </c>
      <c r="E135" s="162">
        <f t="shared" si="13"/>
        <v>283836.05555555556</v>
      </c>
      <c r="F135" s="161">
        <f t="shared" si="14"/>
        <v>364418.84885930171</v>
      </c>
      <c r="G135" s="161">
        <f t="shared" si="15"/>
        <v>506336.87663707952</v>
      </c>
      <c r="H135" s="165">
        <f t="shared" si="16"/>
        <v>337286.21632254584</v>
      </c>
      <c r="I135" s="299">
        <f t="shared" si="17"/>
        <v>337286.21632254584</v>
      </c>
      <c r="J135" s="160">
        <f t="shared" si="12"/>
        <v>0</v>
      </c>
      <c r="K135" s="160"/>
      <c r="L135" s="316"/>
      <c r="M135" s="160">
        <f t="shared" si="19"/>
        <v>0</v>
      </c>
      <c r="N135" s="316"/>
      <c r="O135" s="160">
        <f t="shared" si="20"/>
        <v>0</v>
      </c>
      <c r="P135" s="160">
        <f t="shared" si="21"/>
        <v>0</v>
      </c>
      <c r="Q135" s="1"/>
      <c r="R135" s="1"/>
      <c r="S135" s="1"/>
      <c r="T135" s="1"/>
      <c r="U135" s="1"/>
    </row>
    <row r="136" spans="2:21">
      <c r="B136" t="str">
        <f t="shared" si="9"/>
        <v/>
      </c>
      <c r="C136" s="155">
        <f>IF(D94="","-",+C135+1)</f>
        <v>2050</v>
      </c>
      <c r="D136" s="156">
        <f>IF(F135+SUM(E$100:E135)=D$93,F135,D$93-SUM(E$100:E135))</f>
        <v>364418.84885930171</v>
      </c>
      <c r="E136" s="162">
        <f t="shared" si="13"/>
        <v>283836.05555555556</v>
      </c>
      <c r="F136" s="161">
        <f t="shared" si="14"/>
        <v>80582.793303746148</v>
      </c>
      <c r="G136" s="161">
        <f t="shared" si="15"/>
        <v>222500.82108152393</v>
      </c>
      <c r="H136" s="165">
        <f t="shared" si="16"/>
        <v>307323.78715547803</v>
      </c>
      <c r="I136" s="299">
        <f t="shared" si="17"/>
        <v>307323.78715547803</v>
      </c>
      <c r="J136" s="160">
        <f t="shared" si="12"/>
        <v>0</v>
      </c>
      <c r="K136" s="160"/>
      <c r="L136" s="316"/>
      <c r="M136" s="160">
        <f t="shared" si="19"/>
        <v>0</v>
      </c>
      <c r="N136" s="316"/>
      <c r="O136" s="160">
        <f t="shared" si="20"/>
        <v>0</v>
      </c>
      <c r="P136" s="160">
        <f t="shared" si="21"/>
        <v>0</v>
      </c>
      <c r="Q136" s="1"/>
      <c r="R136" s="1"/>
      <c r="S136" s="1"/>
      <c r="T136" s="1"/>
      <c r="U136" s="1"/>
    </row>
    <row r="137" spans="2:21">
      <c r="B137" t="str">
        <f t="shared" si="9"/>
        <v/>
      </c>
      <c r="C137" s="155">
        <f>IF(D94="","-",+C136+1)</f>
        <v>2051</v>
      </c>
      <c r="D137" s="156">
        <f>IF(F136+SUM(E$100:E136)=D$93,F136,D$93-SUM(E$100:E136))</f>
        <v>80582.793303746148</v>
      </c>
      <c r="E137" s="162">
        <f t="shared" si="13"/>
        <v>80582.793303746148</v>
      </c>
      <c r="F137" s="161">
        <f t="shared" si="14"/>
        <v>0</v>
      </c>
      <c r="G137" s="161">
        <f t="shared" si="15"/>
        <v>40291.396651873074</v>
      </c>
      <c r="H137" s="165">
        <f t="shared" si="16"/>
        <v>84836.051811940459</v>
      </c>
      <c r="I137" s="299">
        <f t="shared" si="17"/>
        <v>84836.051811940459</v>
      </c>
      <c r="J137" s="160">
        <f t="shared" si="12"/>
        <v>0</v>
      </c>
      <c r="K137" s="160"/>
      <c r="L137" s="316"/>
      <c r="M137" s="160">
        <f t="shared" si="19"/>
        <v>0</v>
      </c>
      <c r="N137" s="316"/>
      <c r="O137" s="160">
        <f t="shared" si="20"/>
        <v>0</v>
      </c>
      <c r="P137" s="160">
        <f t="shared" si="21"/>
        <v>0</v>
      </c>
      <c r="Q137" s="1"/>
      <c r="R137" s="1"/>
      <c r="S137" s="1"/>
      <c r="T137" s="1"/>
      <c r="U137" s="1"/>
    </row>
    <row r="138" spans="2:21">
      <c r="B138" t="str">
        <f t="shared" si="9"/>
        <v/>
      </c>
      <c r="C138" s="155">
        <f>IF(D94="","-",+C137+1)</f>
        <v>2052</v>
      </c>
      <c r="D138" s="156">
        <f>IF(F137+SUM(E$100:E137)=D$93,F137,D$93-SUM(E$100:E137))</f>
        <v>0</v>
      </c>
      <c r="E138" s="162">
        <f t="shared" si="13"/>
        <v>0</v>
      </c>
      <c r="F138" s="161">
        <f t="shared" si="14"/>
        <v>0</v>
      </c>
      <c r="G138" s="161">
        <f t="shared" si="15"/>
        <v>0</v>
      </c>
      <c r="H138" s="165">
        <f t="shared" si="16"/>
        <v>0</v>
      </c>
      <c r="I138" s="299">
        <f t="shared" si="17"/>
        <v>0</v>
      </c>
      <c r="J138" s="160">
        <f t="shared" si="12"/>
        <v>0</v>
      </c>
      <c r="K138" s="160"/>
      <c r="L138" s="316"/>
      <c r="M138" s="160">
        <f t="shared" si="19"/>
        <v>0</v>
      </c>
      <c r="N138" s="316"/>
      <c r="O138" s="160">
        <f t="shared" si="20"/>
        <v>0</v>
      </c>
      <c r="P138" s="160">
        <f t="shared" si="21"/>
        <v>0</v>
      </c>
      <c r="Q138" s="1"/>
      <c r="R138" s="1"/>
      <c r="S138" s="1"/>
      <c r="T138" s="1"/>
      <c r="U138" s="1"/>
    </row>
    <row r="139" spans="2:21">
      <c r="B139" t="str">
        <f t="shared" si="9"/>
        <v/>
      </c>
      <c r="C139" s="155">
        <f>IF(D94="","-",+C138+1)</f>
        <v>2053</v>
      </c>
      <c r="D139" s="156">
        <f>IF(F138+SUM(E$100:E138)=D$93,F138,D$93-SUM(E$100:E138))</f>
        <v>0</v>
      </c>
      <c r="E139" s="162">
        <f t="shared" si="13"/>
        <v>0</v>
      </c>
      <c r="F139" s="161">
        <f t="shared" si="14"/>
        <v>0</v>
      </c>
      <c r="G139" s="161">
        <f t="shared" si="15"/>
        <v>0</v>
      </c>
      <c r="H139" s="165">
        <f t="shared" si="16"/>
        <v>0</v>
      </c>
      <c r="I139" s="299">
        <f t="shared" si="17"/>
        <v>0</v>
      </c>
      <c r="J139" s="160">
        <f t="shared" si="12"/>
        <v>0</v>
      </c>
      <c r="K139" s="160"/>
      <c r="L139" s="316"/>
      <c r="M139" s="160">
        <f t="shared" si="19"/>
        <v>0</v>
      </c>
      <c r="N139" s="316"/>
      <c r="O139" s="160">
        <f t="shared" si="20"/>
        <v>0</v>
      </c>
      <c r="P139" s="160">
        <f t="shared" si="21"/>
        <v>0</v>
      </c>
      <c r="Q139" s="1"/>
      <c r="R139" s="1"/>
      <c r="S139" s="1"/>
      <c r="T139" s="1"/>
      <c r="U139" s="1"/>
    </row>
    <row r="140" spans="2:21">
      <c r="B140" t="str">
        <f t="shared" si="9"/>
        <v/>
      </c>
      <c r="C140" s="155">
        <f>IF(D94="","-",+C139+1)</f>
        <v>2054</v>
      </c>
      <c r="D140" s="156">
        <f>IF(F139+SUM(E$100:E139)=D$93,F139,D$93-SUM(E$100:E139))</f>
        <v>0</v>
      </c>
      <c r="E140" s="162">
        <f t="shared" si="13"/>
        <v>0</v>
      </c>
      <c r="F140" s="161">
        <f t="shared" si="14"/>
        <v>0</v>
      </c>
      <c r="G140" s="161">
        <f t="shared" si="15"/>
        <v>0</v>
      </c>
      <c r="H140" s="165">
        <f t="shared" si="16"/>
        <v>0</v>
      </c>
      <c r="I140" s="299">
        <f t="shared" si="17"/>
        <v>0</v>
      </c>
      <c r="J140" s="160">
        <f t="shared" si="12"/>
        <v>0</v>
      </c>
      <c r="K140" s="160"/>
      <c r="L140" s="316"/>
      <c r="M140" s="160">
        <f t="shared" si="19"/>
        <v>0</v>
      </c>
      <c r="N140" s="316"/>
      <c r="O140" s="160">
        <f t="shared" si="20"/>
        <v>0</v>
      </c>
      <c r="P140" s="160">
        <f t="shared" si="21"/>
        <v>0</v>
      </c>
      <c r="Q140" s="1"/>
      <c r="R140" s="1"/>
      <c r="S140" s="1"/>
      <c r="T140" s="1"/>
      <c r="U140" s="1"/>
    </row>
    <row r="141" spans="2:21">
      <c r="B141" t="str">
        <f t="shared" si="9"/>
        <v/>
      </c>
      <c r="C141" s="155">
        <f>IF(D94="","-",+C140+1)</f>
        <v>2055</v>
      </c>
      <c r="D141" s="156">
        <f>IF(F140+SUM(E$100:E140)=D$93,F140,D$93-SUM(E$100:E140))</f>
        <v>0</v>
      </c>
      <c r="E141" s="162">
        <f t="shared" si="13"/>
        <v>0</v>
      </c>
      <c r="F141" s="161">
        <f t="shared" si="14"/>
        <v>0</v>
      </c>
      <c r="G141" s="161">
        <f t="shared" si="15"/>
        <v>0</v>
      </c>
      <c r="H141" s="165">
        <f t="shared" si="16"/>
        <v>0</v>
      </c>
      <c r="I141" s="299">
        <f t="shared" si="17"/>
        <v>0</v>
      </c>
      <c r="J141" s="160">
        <f t="shared" si="12"/>
        <v>0</v>
      </c>
      <c r="K141" s="160"/>
      <c r="L141" s="316"/>
      <c r="M141" s="160">
        <f t="shared" si="19"/>
        <v>0</v>
      </c>
      <c r="N141" s="316"/>
      <c r="O141" s="160">
        <f t="shared" si="20"/>
        <v>0</v>
      </c>
      <c r="P141" s="160">
        <f t="shared" si="21"/>
        <v>0</v>
      </c>
      <c r="Q141" s="1"/>
      <c r="R141" s="1"/>
      <c r="S141" s="1"/>
      <c r="T141" s="1"/>
      <c r="U141" s="1"/>
    </row>
    <row r="142" spans="2:21">
      <c r="B142" t="str">
        <f t="shared" si="9"/>
        <v/>
      </c>
      <c r="C142" s="155">
        <f>IF(D94="","-",+C141+1)</f>
        <v>2056</v>
      </c>
      <c r="D142" s="156">
        <f>IF(F141+SUM(E$100:E141)=D$93,F141,D$93-SUM(E$100:E141))</f>
        <v>0</v>
      </c>
      <c r="E142" s="162">
        <f t="shared" si="13"/>
        <v>0</v>
      </c>
      <c r="F142" s="161">
        <f t="shared" si="14"/>
        <v>0</v>
      </c>
      <c r="G142" s="161">
        <f t="shared" si="15"/>
        <v>0</v>
      </c>
      <c r="H142" s="165">
        <f t="shared" si="16"/>
        <v>0</v>
      </c>
      <c r="I142" s="299">
        <f t="shared" si="17"/>
        <v>0</v>
      </c>
      <c r="J142" s="160">
        <f t="shared" si="12"/>
        <v>0</v>
      </c>
      <c r="K142" s="160"/>
      <c r="L142" s="316"/>
      <c r="M142" s="160">
        <f t="shared" si="19"/>
        <v>0</v>
      </c>
      <c r="N142" s="316"/>
      <c r="O142" s="160">
        <f t="shared" si="20"/>
        <v>0</v>
      </c>
      <c r="P142" s="160">
        <f t="shared" si="21"/>
        <v>0</v>
      </c>
      <c r="Q142" s="1"/>
      <c r="R142" s="1"/>
      <c r="S142" s="1"/>
      <c r="T142" s="1"/>
      <c r="U142" s="1"/>
    </row>
    <row r="143" spans="2:21">
      <c r="B143" t="str">
        <f t="shared" si="9"/>
        <v/>
      </c>
      <c r="C143" s="155">
        <f>IF(D94="","-",+C142+1)</f>
        <v>2057</v>
      </c>
      <c r="D143" s="156">
        <f>IF(F142+SUM(E$100:E142)=D$93,F142,D$93-SUM(E$100:E142))</f>
        <v>0</v>
      </c>
      <c r="E143" s="162">
        <f t="shared" si="13"/>
        <v>0</v>
      </c>
      <c r="F143" s="161">
        <f t="shared" si="14"/>
        <v>0</v>
      </c>
      <c r="G143" s="161">
        <f t="shared" si="15"/>
        <v>0</v>
      </c>
      <c r="H143" s="165">
        <f t="shared" si="16"/>
        <v>0</v>
      </c>
      <c r="I143" s="299">
        <f t="shared" si="17"/>
        <v>0</v>
      </c>
      <c r="J143" s="160">
        <f t="shared" si="12"/>
        <v>0</v>
      </c>
      <c r="K143" s="160"/>
      <c r="L143" s="316"/>
      <c r="M143" s="160">
        <f t="shared" si="19"/>
        <v>0</v>
      </c>
      <c r="N143" s="316"/>
      <c r="O143" s="160">
        <f t="shared" si="20"/>
        <v>0</v>
      </c>
      <c r="P143" s="160">
        <f t="shared" si="21"/>
        <v>0</v>
      </c>
      <c r="Q143" s="1"/>
      <c r="R143" s="1"/>
      <c r="S143" s="1"/>
      <c r="T143" s="1"/>
      <c r="U143" s="1"/>
    </row>
    <row r="144" spans="2:21">
      <c r="B144" t="str">
        <f t="shared" si="9"/>
        <v/>
      </c>
      <c r="C144" s="155">
        <f>IF(D94="","-",+C143+1)</f>
        <v>2058</v>
      </c>
      <c r="D144" s="156">
        <f>IF(F143+SUM(E$100:E143)=D$93,F143,D$93-SUM(E$100:E143))</f>
        <v>0</v>
      </c>
      <c r="E144" s="162">
        <f t="shared" si="13"/>
        <v>0</v>
      </c>
      <c r="F144" s="161">
        <f t="shared" si="14"/>
        <v>0</v>
      </c>
      <c r="G144" s="161">
        <f t="shared" si="15"/>
        <v>0</v>
      </c>
      <c r="H144" s="165">
        <f t="shared" si="16"/>
        <v>0</v>
      </c>
      <c r="I144" s="299">
        <f t="shared" si="17"/>
        <v>0</v>
      </c>
      <c r="J144" s="160">
        <f t="shared" si="12"/>
        <v>0</v>
      </c>
      <c r="K144" s="160"/>
      <c r="L144" s="316"/>
      <c r="M144" s="160">
        <f t="shared" si="19"/>
        <v>0</v>
      </c>
      <c r="N144" s="316"/>
      <c r="O144" s="160">
        <f t="shared" si="20"/>
        <v>0</v>
      </c>
      <c r="P144" s="160">
        <f t="shared" si="21"/>
        <v>0</v>
      </c>
      <c r="Q144" s="1"/>
      <c r="R144" s="1"/>
      <c r="S144" s="1"/>
      <c r="T144" s="1"/>
      <c r="U144" s="1"/>
    </row>
    <row r="145" spans="2:21">
      <c r="B145" t="str">
        <f t="shared" si="9"/>
        <v/>
      </c>
      <c r="C145" s="155">
        <f>IF(D94="","-",+C144+1)</f>
        <v>2059</v>
      </c>
      <c r="D145" s="156">
        <f>IF(F144+SUM(E$100:E144)=D$93,F144,D$93-SUM(E$100:E144))</f>
        <v>0</v>
      </c>
      <c r="E145" s="162">
        <f t="shared" si="13"/>
        <v>0</v>
      </c>
      <c r="F145" s="161">
        <f t="shared" si="14"/>
        <v>0</v>
      </c>
      <c r="G145" s="161">
        <f t="shared" si="15"/>
        <v>0</v>
      </c>
      <c r="H145" s="165">
        <f t="shared" si="16"/>
        <v>0</v>
      </c>
      <c r="I145" s="299">
        <f t="shared" si="17"/>
        <v>0</v>
      </c>
      <c r="J145" s="160">
        <f t="shared" si="12"/>
        <v>0</v>
      </c>
      <c r="K145" s="160"/>
      <c r="L145" s="316"/>
      <c r="M145" s="160">
        <f t="shared" si="19"/>
        <v>0</v>
      </c>
      <c r="N145" s="316"/>
      <c r="O145" s="160">
        <f t="shared" si="20"/>
        <v>0</v>
      </c>
      <c r="P145" s="160">
        <f t="shared" si="21"/>
        <v>0</v>
      </c>
      <c r="Q145" s="1"/>
      <c r="R145" s="1"/>
      <c r="S145" s="1"/>
      <c r="T145" s="1"/>
      <c r="U145" s="1"/>
    </row>
    <row r="146" spans="2:21">
      <c r="B146" t="str">
        <f t="shared" si="9"/>
        <v/>
      </c>
      <c r="C146" s="155">
        <f>IF(D94="","-",+C145+1)</f>
        <v>2060</v>
      </c>
      <c r="D146" s="156">
        <f>IF(F145+SUM(E$100:E145)=D$93,F145,D$93-SUM(E$100:E145))</f>
        <v>0</v>
      </c>
      <c r="E146" s="162">
        <f t="shared" si="13"/>
        <v>0</v>
      </c>
      <c r="F146" s="161">
        <f t="shared" si="14"/>
        <v>0</v>
      </c>
      <c r="G146" s="161">
        <f t="shared" si="15"/>
        <v>0</v>
      </c>
      <c r="H146" s="165">
        <f t="shared" si="16"/>
        <v>0</v>
      </c>
      <c r="I146" s="299">
        <f t="shared" si="17"/>
        <v>0</v>
      </c>
      <c r="J146" s="160">
        <f t="shared" si="12"/>
        <v>0</v>
      </c>
      <c r="K146" s="160"/>
      <c r="L146" s="316"/>
      <c r="M146" s="160">
        <f t="shared" si="19"/>
        <v>0</v>
      </c>
      <c r="N146" s="316"/>
      <c r="O146" s="160">
        <f t="shared" si="20"/>
        <v>0</v>
      </c>
      <c r="P146" s="160">
        <f t="shared" si="21"/>
        <v>0</v>
      </c>
      <c r="Q146" s="1"/>
      <c r="R146" s="1"/>
      <c r="S146" s="1"/>
      <c r="T146" s="1"/>
      <c r="U146" s="1"/>
    </row>
    <row r="147" spans="2:21">
      <c r="B147" t="str">
        <f t="shared" si="9"/>
        <v/>
      </c>
      <c r="C147" s="155">
        <f>IF(D94="","-",+C146+1)</f>
        <v>2061</v>
      </c>
      <c r="D147" s="156">
        <f>IF(F146+SUM(E$100:E146)=D$93,F146,D$93-SUM(E$100:E146))</f>
        <v>0</v>
      </c>
      <c r="E147" s="162">
        <f t="shared" si="13"/>
        <v>0</v>
      </c>
      <c r="F147" s="161">
        <f t="shared" si="14"/>
        <v>0</v>
      </c>
      <c r="G147" s="161">
        <f t="shared" si="15"/>
        <v>0</v>
      </c>
      <c r="H147" s="165">
        <f t="shared" si="16"/>
        <v>0</v>
      </c>
      <c r="I147" s="299">
        <f t="shared" si="17"/>
        <v>0</v>
      </c>
      <c r="J147" s="160">
        <f t="shared" si="12"/>
        <v>0</v>
      </c>
      <c r="K147" s="160"/>
      <c r="L147" s="316"/>
      <c r="M147" s="160">
        <f t="shared" si="19"/>
        <v>0</v>
      </c>
      <c r="N147" s="316"/>
      <c r="O147" s="160">
        <f t="shared" si="20"/>
        <v>0</v>
      </c>
      <c r="P147" s="160">
        <f t="shared" si="21"/>
        <v>0</v>
      </c>
      <c r="Q147" s="1"/>
      <c r="R147" s="1"/>
      <c r="S147" s="1"/>
      <c r="T147" s="1"/>
      <c r="U147" s="1"/>
    </row>
    <row r="148" spans="2:21">
      <c r="B148" t="str">
        <f t="shared" si="9"/>
        <v/>
      </c>
      <c r="C148" s="155">
        <f>IF(D94="","-",+C147+1)</f>
        <v>2062</v>
      </c>
      <c r="D148" s="156">
        <f>IF(F147+SUM(E$100:E147)=D$93,F147,D$93-SUM(E$100:E147))</f>
        <v>0</v>
      </c>
      <c r="E148" s="162">
        <f t="shared" si="13"/>
        <v>0</v>
      </c>
      <c r="F148" s="161">
        <f t="shared" si="14"/>
        <v>0</v>
      </c>
      <c r="G148" s="161">
        <f t="shared" si="15"/>
        <v>0</v>
      </c>
      <c r="H148" s="165">
        <f t="shared" si="16"/>
        <v>0</v>
      </c>
      <c r="I148" s="299">
        <f t="shared" si="17"/>
        <v>0</v>
      </c>
      <c r="J148" s="160">
        <f t="shared" si="12"/>
        <v>0</v>
      </c>
      <c r="K148" s="160"/>
      <c r="L148" s="316"/>
      <c r="M148" s="160">
        <f t="shared" si="19"/>
        <v>0</v>
      </c>
      <c r="N148" s="316"/>
      <c r="O148" s="160">
        <f t="shared" si="20"/>
        <v>0</v>
      </c>
      <c r="P148" s="160">
        <f t="shared" si="21"/>
        <v>0</v>
      </c>
      <c r="Q148" s="1"/>
      <c r="R148" s="1"/>
      <c r="S148" s="1"/>
      <c r="T148" s="1"/>
      <c r="U148" s="1"/>
    </row>
    <row r="149" spans="2:21">
      <c r="B149" t="str">
        <f t="shared" si="9"/>
        <v/>
      </c>
      <c r="C149" s="155">
        <f>IF(D94="","-",+C148+1)</f>
        <v>2063</v>
      </c>
      <c r="D149" s="156">
        <f>IF(F148+SUM(E$100:E148)=D$93,F148,D$93-SUM(E$100:E148))</f>
        <v>0</v>
      </c>
      <c r="E149" s="162">
        <f t="shared" si="13"/>
        <v>0</v>
      </c>
      <c r="F149" s="161">
        <f t="shared" si="14"/>
        <v>0</v>
      </c>
      <c r="G149" s="161">
        <f t="shared" si="15"/>
        <v>0</v>
      </c>
      <c r="H149" s="165">
        <f t="shared" si="16"/>
        <v>0</v>
      </c>
      <c r="I149" s="299">
        <f t="shared" si="17"/>
        <v>0</v>
      </c>
      <c r="J149" s="160">
        <f t="shared" si="12"/>
        <v>0</v>
      </c>
      <c r="K149" s="160"/>
      <c r="L149" s="316"/>
      <c r="M149" s="160">
        <f t="shared" si="19"/>
        <v>0</v>
      </c>
      <c r="N149" s="316"/>
      <c r="O149" s="160">
        <f t="shared" si="20"/>
        <v>0</v>
      </c>
      <c r="P149" s="160">
        <f t="shared" si="21"/>
        <v>0</v>
      </c>
      <c r="Q149" s="1"/>
      <c r="R149" s="1"/>
      <c r="S149" s="1"/>
      <c r="T149" s="1"/>
      <c r="U149" s="1"/>
    </row>
    <row r="150" spans="2:21">
      <c r="B150" t="str">
        <f t="shared" si="9"/>
        <v/>
      </c>
      <c r="C150" s="155">
        <f>IF(D94="","-",+C149+1)</f>
        <v>2064</v>
      </c>
      <c r="D150" s="156">
        <f>IF(F149+SUM(E$100:E149)=D$93,F149,D$93-SUM(E$100:E149))</f>
        <v>0</v>
      </c>
      <c r="E150" s="162">
        <f t="shared" si="13"/>
        <v>0</v>
      </c>
      <c r="F150" s="161">
        <f t="shared" si="14"/>
        <v>0</v>
      </c>
      <c r="G150" s="161">
        <f t="shared" si="15"/>
        <v>0</v>
      </c>
      <c r="H150" s="165">
        <f t="shared" si="16"/>
        <v>0</v>
      </c>
      <c r="I150" s="299">
        <f t="shared" si="17"/>
        <v>0</v>
      </c>
      <c r="J150" s="160">
        <f t="shared" si="12"/>
        <v>0</v>
      </c>
      <c r="K150" s="160"/>
      <c r="L150" s="316"/>
      <c r="M150" s="160">
        <f t="shared" si="19"/>
        <v>0</v>
      </c>
      <c r="N150" s="316"/>
      <c r="O150" s="160">
        <f t="shared" si="20"/>
        <v>0</v>
      </c>
      <c r="P150" s="160">
        <f t="shared" si="21"/>
        <v>0</v>
      </c>
      <c r="Q150" s="1"/>
      <c r="R150" s="1"/>
      <c r="S150" s="1"/>
      <c r="T150" s="1"/>
      <c r="U150" s="1"/>
    </row>
    <row r="151" spans="2:21">
      <c r="B151" t="str">
        <f t="shared" si="9"/>
        <v/>
      </c>
      <c r="C151" s="155">
        <f>IF(D94="","-",+C150+1)</f>
        <v>2065</v>
      </c>
      <c r="D151" s="156">
        <f>IF(F150+SUM(E$100:E150)=D$93,F150,D$93-SUM(E$100:E150))</f>
        <v>0</v>
      </c>
      <c r="E151" s="162">
        <f t="shared" si="13"/>
        <v>0</v>
      </c>
      <c r="F151" s="161">
        <f t="shared" si="14"/>
        <v>0</v>
      </c>
      <c r="G151" s="161">
        <f t="shared" si="15"/>
        <v>0</v>
      </c>
      <c r="H151" s="165">
        <f t="shared" si="16"/>
        <v>0</v>
      </c>
      <c r="I151" s="299">
        <f t="shared" si="17"/>
        <v>0</v>
      </c>
      <c r="J151" s="160">
        <f t="shared" si="12"/>
        <v>0</v>
      </c>
      <c r="K151" s="160"/>
      <c r="L151" s="316"/>
      <c r="M151" s="160">
        <f t="shared" si="19"/>
        <v>0</v>
      </c>
      <c r="N151" s="316"/>
      <c r="O151" s="160">
        <f t="shared" si="20"/>
        <v>0</v>
      </c>
      <c r="P151" s="160">
        <f t="shared" si="21"/>
        <v>0</v>
      </c>
      <c r="Q151" s="1"/>
      <c r="R151" s="1"/>
      <c r="S151" s="1"/>
      <c r="T151" s="1"/>
      <c r="U151" s="1"/>
    </row>
    <row r="152" spans="2:21">
      <c r="B152" t="str">
        <f t="shared" si="9"/>
        <v/>
      </c>
      <c r="C152" s="155">
        <f>IF(D94="","-",+C151+1)</f>
        <v>2066</v>
      </c>
      <c r="D152" s="156">
        <f>IF(F151+SUM(E$100:E151)=D$93,F151,D$93-SUM(E$100:E151))</f>
        <v>0</v>
      </c>
      <c r="E152" s="162">
        <f t="shared" si="13"/>
        <v>0</v>
      </c>
      <c r="F152" s="161">
        <f t="shared" si="14"/>
        <v>0</v>
      </c>
      <c r="G152" s="161">
        <f t="shared" si="15"/>
        <v>0</v>
      </c>
      <c r="H152" s="165">
        <f t="shared" si="16"/>
        <v>0</v>
      </c>
      <c r="I152" s="299">
        <f t="shared" si="17"/>
        <v>0</v>
      </c>
      <c r="J152" s="160">
        <f t="shared" si="12"/>
        <v>0</v>
      </c>
      <c r="K152" s="160"/>
      <c r="L152" s="316"/>
      <c r="M152" s="160">
        <f t="shared" si="19"/>
        <v>0</v>
      </c>
      <c r="N152" s="316"/>
      <c r="O152" s="160">
        <f t="shared" si="20"/>
        <v>0</v>
      </c>
      <c r="P152" s="160">
        <f t="shared" si="21"/>
        <v>0</v>
      </c>
      <c r="Q152" s="1"/>
      <c r="R152" s="1"/>
      <c r="S152" s="1"/>
      <c r="T152" s="1"/>
      <c r="U152" s="1"/>
    </row>
    <row r="153" spans="2:21">
      <c r="B153" t="str">
        <f t="shared" si="9"/>
        <v/>
      </c>
      <c r="C153" s="155">
        <f>IF(D94="","-",+C152+1)</f>
        <v>2067</v>
      </c>
      <c r="D153" s="156">
        <f>IF(F152+SUM(E$100:E152)=D$93,F152,D$93-SUM(E$100:E152))</f>
        <v>0</v>
      </c>
      <c r="E153" s="162">
        <f t="shared" si="13"/>
        <v>0</v>
      </c>
      <c r="F153" s="161">
        <f t="shared" si="14"/>
        <v>0</v>
      </c>
      <c r="G153" s="161">
        <f t="shared" si="15"/>
        <v>0</v>
      </c>
      <c r="H153" s="165">
        <f t="shared" si="16"/>
        <v>0</v>
      </c>
      <c r="I153" s="299">
        <f t="shared" si="17"/>
        <v>0</v>
      </c>
      <c r="J153" s="160">
        <f t="shared" si="12"/>
        <v>0</v>
      </c>
      <c r="K153" s="160"/>
      <c r="L153" s="316"/>
      <c r="M153" s="160">
        <f t="shared" si="19"/>
        <v>0</v>
      </c>
      <c r="N153" s="316"/>
      <c r="O153" s="160">
        <f t="shared" si="20"/>
        <v>0</v>
      </c>
      <c r="P153" s="160">
        <f t="shared" si="21"/>
        <v>0</v>
      </c>
      <c r="Q153" s="1"/>
      <c r="R153" s="1"/>
      <c r="S153" s="1"/>
      <c r="T153" s="1"/>
      <c r="U153" s="1"/>
    </row>
    <row r="154" spans="2:21">
      <c r="B154" t="str">
        <f t="shared" si="9"/>
        <v/>
      </c>
      <c r="C154" s="155">
        <f>IF(D94="","-",+C153+1)</f>
        <v>2068</v>
      </c>
      <c r="D154" s="156">
        <f>IF(F153+SUM(E$100:E153)=D$93,F153,D$93-SUM(E$100:E153))</f>
        <v>0</v>
      </c>
      <c r="E154" s="162">
        <f t="shared" si="13"/>
        <v>0</v>
      </c>
      <c r="F154" s="161">
        <f t="shared" si="14"/>
        <v>0</v>
      </c>
      <c r="G154" s="161">
        <f t="shared" si="15"/>
        <v>0</v>
      </c>
      <c r="H154" s="165">
        <f t="shared" si="16"/>
        <v>0</v>
      </c>
      <c r="I154" s="299">
        <f t="shared" si="17"/>
        <v>0</v>
      </c>
      <c r="J154" s="160">
        <f t="shared" si="12"/>
        <v>0</v>
      </c>
      <c r="K154" s="160"/>
      <c r="L154" s="316"/>
      <c r="M154" s="160">
        <f t="shared" si="19"/>
        <v>0</v>
      </c>
      <c r="N154" s="316"/>
      <c r="O154" s="160">
        <f t="shared" si="20"/>
        <v>0</v>
      </c>
      <c r="P154" s="160">
        <f t="shared" si="21"/>
        <v>0</v>
      </c>
      <c r="Q154" s="1"/>
      <c r="R154" s="1"/>
      <c r="S154" s="1"/>
      <c r="T154" s="1"/>
      <c r="U154" s="1"/>
    </row>
    <row r="155" spans="2:21" ht="13.5" thickBot="1">
      <c r="B155" t="str">
        <f t="shared" si="9"/>
        <v/>
      </c>
      <c r="C155" s="166">
        <f>IF(D94="","-",+C154+1)</f>
        <v>2069</v>
      </c>
      <c r="D155" s="399">
        <f>IF(F154+SUM(E$100:E154)=D$93,F154,D$93-SUM(E$100:E154))</f>
        <v>0</v>
      </c>
      <c r="E155" s="168">
        <f t="shared" si="13"/>
        <v>0</v>
      </c>
      <c r="F155" s="167">
        <f t="shared" si="14"/>
        <v>0</v>
      </c>
      <c r="G155" s="167">
        <f t="shared" si="15"/>
        <v>0</v>
      </c>
      <c r="H155" s="169">
        <f t="shared" si="16"/>
        <v>0</v>
      </c>
      <c r="I155" s="300">
        <f t="shared" si="17"/>
        <v>0</v>
      </c>
      <c r="J155" s="171">
        <f t="shared" si="12"/>
        <v>0</v>
      </c>
      <c r="K155" s="160"/>
      <c r="L155" s="317"/>
      <c r="M155" s="171">
        <f t="shared" si="19"/>
        <v>0</v>
      </c>
      <c r="N155" s="317"/>
      <c r="O155" s="171">
        <f t="shared" si="20"/>
        <v>0</v>
      </c>
      <c r="P155" s="171">
        <f t="shared" si="21"/>
        <v>0</v>
      </c>
      <c r="Q155" s="1"/>
      <c r="R155" s="1"/>
      <c r="S155" s="1"/>
      <c r="T155" s="1"/>
      <c r="U155" s="1"/>
    </row>
    <row r="156" spans="2:21">
      <c r="C156" s="156" t="s">
        <v>75</v>
      </c>
      <c r="D156" s="112"/>
      <c r="E156" s="112">
        <f>SUM(E100:E155)</f>
        <v>10218098.000000002</v>
      </c>
      <c r="F156" s="112"/>
      <c r="G156" s="112"/>
      <c r="H156" s="112">
        <f>SUM(H100:H155)</f>
        <v>30658882.756696969</v>
      </c>
      <c r="I156" s="112">
        <f>SUM(I100:I155)</f>
        <v>30658882.756696969</v>
      </c>
      <c r="J156" s="112">
        <f>SUM(J100:J155)</f>
        <v>0</v>
      </c>
      <c r="K156" s="112"/>
      <c r="L156" s="112"/>
      <c r="M156" s="112"/>
      <c r="N156" s="112"/>
      <c r="O156" s="112"/>
      <c r="P156" s="1"/>
      <c r="Q156" s="1"/>
      <c r="R156" s="1"/>
      <c r="S156" s="1"/>
      <c r="T156" s="1"/>
      <c r="U156" s="1"/>
    </row>
    <row r="157" spans="2:21">
      <c r="C157" t="s">
        <v>90</v>
      </c>
      <c r="D157" s="2"/>
      <c r="E157" s="1"/>
      <c r="F157" s="1"/>
      <c r="G157" s="1"/>
      <c r="H157" s="1"/>
      <c r="I157" s="3"/>
      <c r="J157" s="3"/>
      <c r="K157" s="112"/>
      <c r="L157" s="3"/>
      <c r="M157" s="3"/>
      <c r="N157" s="3"/>
      <c r="O157" s="3"/>
      <c r="P157" s="1"/>
      <c r="Q157" s="1"/>
      <c r="R157" s="1"/>
      <c r="S157" s="1"/>
      <c r="T157" s="1"/>
      <c r="U157" s="1"/>
    </row>
    <row r="158" spans="2:21">
      <c r="C158" s="215"/>
      <c r="D158" s="2"/>
      <c r="E158" s="1"/>
      <c r="F158" s="1"/>
      <c r="G158" s="1"/>
      <c r="H158" s="1"/>
      <c r="I158" s="3"/>
      <c r="J158" s="3"/>
      <c r="K158" s="112"/>
      <c r="L158" s="3"/>
      <c r="M158" s="3"/>
      <c r="N158" s="3"/>
      <c r="O158" s="3"/>
      <c r="P158" s="1"/>
      <c r="Q158" s="1"/>
      <c r="R158" s="1"/>
      <c r="S158" s="1"/>
      <c r="T158" s="1"/>
      <c r="U158" s="1"/>
    </row>
    <row r="159" spans="2:21">
      <c r="C159" s="245" t="s">
        <v>130</v>
      </c>
      <c r="D159" s="2"/>
      <c r="E159" s="1"/>
      <c r="F159" s="1"/>
      <c r="G159" s="1"/>
      <c r="H159" s="1"/>
      <c r="I159" s="3"/>
      <c r="J159" s="3"/>
      <c r="K159" s="112"/>
      <c r="L159" s="3"/>
      <c r="M159" s="3"/>
      <c r="N159" s="3"/>
      <c r="O159" s="3"/>
      <c r="P159" s="1"/>
      <c r="Q159" s="1"/>
      <c r="R159" s="1"/>
      <c r="S159" s="1"/>
      <c r="T159" s="1"/>
      <c r="U159" s="1"/>
    </row>
    <row r="160" spans="2: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35" priority="1" stopIfTrue="1" operator="equal">
      <formula>$I$10</formula>
    </cfRule>
  </conditionalFormatting>
  <conditionalFormatting sqref="C100:C155">
    <cfRule type="cellIs" dxfId="3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U163"/>
  <sheetViews>
    <sheetView view="pageBreakPreview" zoomScale="78" zoomScaleNormal="100" zoomScaleSheetLayoutView="78" workbookViewId="0">
      <selection activeCell="D21" sqref="D21:H21"/>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8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248789.97176998571</v>
      </c>
      <c r="P5" s="1"/>
      <c r="R5" s="1"/>
      <c r="S5" s="1"/>
      <c r="T5" s="1"/>
      <c r="U5" s="1"/>
    </row>
    <row r="6" spans="1:21" ht="15.75">
      <c r="C6" s="8"/>
      <c r="D6" s="2"/>
      <c r="E6" s="1"/>
      <c r="F6" s="1"/>
      <c r="G6" s="1"/>
      <c r="H6" s="119"/>
      <c r="I6" s="119"/>
      <c r="J6" s="120"/>
      <c r="K6" s="121" t="s">
        <v>243</v>
      </c>
      <c r="L6" s="122"/>
      <c r="M6" s="4"/>
      <c r="N6" s="123">
        <f>VLOOKUP(I10,C17:I73,6)</f>
        <v>248789.97176998571</v>
      </c>
      <c r="O6" s="1"/>
      <c r="P6" s="1"/>
      <c r="R6" s="1"/>
      <c r="S6" s="1"/>
      <c r="T6" s="1"/>
      <c r="U6" s="1"/>
    </row>
    <row r="7" spans="1:21" ht="13.5" thickBot="1">
      <c r="C7" s="124" t="s">
        <v>46</v>
      </c>
      <c r="D7" s="258" t="s">
        <v>215</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C9" s="130" t="s">
        <v>48</v>
      </c>
      <c r="D9" s="224" t="s">
        <v>260</v>
      </c>
      <c r="E9" s="131"/>
      <c r="F9" s="131"/>
      <c r="G9" s="131"/>
      <c r="H9" s="131"/>
      <c r="I9" s="132"/>
      <c r="J9" s="133"/>
      <c r="O9" s="134"/>
      <c r="P9" s="4"/>
      <c r="R9" s="1"/>
      <c r="S9" s="1"/>
      <c r="T9" s="1"/>
      <c r="U9" s="1"/>
    </row>
    <row r="10" spans="1:21">
      <c r="C10" s="135" t="s">
        <v>49</v>
      </c>
      <c r="D10" s="136">
        <v>1864625.01</v>
      </c>
      <c r="E10" s="63" t="s">
        <v>50</v>
      </c>
      <c r="F10" s="134"/>
      <c r="G10" s="137"/>
      <c r="H10" s="137"/>
      <c r="I10" s="138">
        <f>+OKT.WS.F.BPU.ATRR.Projected!R100</f>
        <v>2018</v>
      </c>
      <c r="J10" s="133"/>
      <c r="K10" s="112" t="s">
        <v>51</v>
      </c>
      <c r="O10" s="4"/>
      <c r="P10" s="4"/>
      <c r="R10" s="1"/>
      <c r="S10" s="1"/>
      <c r="T10" s="1"/>
      <c r="U10" s="1"/>
    </row>
    <row r="11" spans="1:21">
      <c r="C11" s="139" t="s">
        <v>52</v>
      </c>
      <c r="D11" s="140">
        <v>2014</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6</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45729.148838219895</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155">
        <f>IF(D11= "","-",D11)</f>
        <v>2014</v>
      </c>
      <c r="D17" s="373">
        <v>669000</v>
      </c>
      <c r="E17" s="374">
        <v>5786.5857813386465</v>
      </c>
      <c r="F17" s="373">
        <v>663213.41421866138</v>
      </c>
      <c r="G17" s="374">
        <v>48353.352128136466</v>
      </c>
      <c r="H17" s="376">
        <v>48353.352128136466</v>
      </c>
      <c r="I17" s="158">
        <v>0</v>
      </c>
      <c r="J17" s="158"/>
      <c r="K17" s="318">
        <f>G17</f>
        <v>48353.352128136466</v>
      </c>
      <c r="L17" s="340">
        <f>IF(K17&lt;&gt;0,+G17-K17,0)</f>
        <v>0</v>
      </c>
      <c r="M17" s="318">
        <f>H17</f>
        <v>48353.352128136466</v>
      </c>
      <c r="N17" s="159">
        <f>IF(M17&lt;&gt;0,+H17-M17,0)</f>
        <v>0</v>
      </c>
      <c r="O17" s="160">
        <f>+N17-L17</f>
        <v>0</v>
      </c>
      <c r="P17" s="4"/>
      <c r="R17" s="1"/>
      <c r="S17" s="1"/>
      <c r="T17" s="1"/>
      <c r="U17" s="1"/>
    </row>
    <row r="18" spans="2:21">
      <c r="B18" t="str">
        <f t="shared" si="0"/>
        <v/>
      </c>
      <c r="C18" s="155">
        <f>IF(D11="","-",+C17+1)</f>
        <v>2015</v>
      </c>
      <c r="D18" s="394">
        <v>663213.41421866138</v>
      </c>
      <c r="E18" s="393">
        <v>32256.539821806971</v>
      </c>
      <c r="F18" s="394">
        <v>630956.87439685443</v>
      </c>
      <c r="G18" s="393">
        <v>97286.386538537452</v>
      </c>
      <c r="H18" s="398">
        <v>97286.386538537452</v>
      </c>
      <c r="I18" s="158">
        <v>0</v>
      </c>
      <c r="J18" s="158"/>
      <c r="K18" s="344">
        <f>G18</f>
        <v>97286.386538537452</v>
      </c>
      <c r="L18" s="345">
        <f>IF(K18&lt;&gt;0,+G18-K18,0)</f>
        <v>0</v>
      </c>
      <c r="M18" s="344">
        <f>H18</f>
        <v>97286.386538537452</v>
      </c>
      <c r="N18" s="160">
        <f>IF(M18&lt;&gt;0,+H18-M18,0)</f>
        <v>0</v>
      </c>
      <c r="O18" s="160">
        <f>+N18-L18</f>
        <v>0</v>
      </c>
      <c r="P18" s="4"/>
      <c r="R18" s="1"/>
      <c r="S18" s="1"/>
      <c r="T18" s="1"/>
      <c r="U18" s="1"/>
    </row>
    <row r="19" spans="2:21">
      <c r="B19" t="str">
        <f t="shared" si="0"/>
        <v>IU</v>
      </c>
      <c r="C19" s="155">
        <f>IF(D11="","-",+C18+1)</f>
        <v>2016</v>
      </c>
      <c r="D19" s="394">
        <v>1826581.8843968543</v>
      </c>
      <c r="E19" s="393">
        <v>38745.889906300305</v>
      </c>
      <c r="F19" s="394">
        <v>1787835.9944905541</v>
      </c>
      <c r="G19" s="393">
        <v>231618.29862330039</v>
      </c>
      <c r="H19" s="398">
        <v>231618.29862330039</v>
      </c>
      <c r="I19" s="158">
        <f>H19-G19</f>
        <v>0</v>
      </c>
      <c r="J19" s="158"/>
      <c r="K19" s="344">
        <f>G19</f>
        <v>231618.29862330039</v>
      </c>
      <c r="L19" s="345">
        <f>IF(K19&lt;&gt;0,+G19-K19,0)</f>
        <v>0</v>
      </c>
      <c r="M19" s="344">
        <f>H19</f>
        <v>231618.29862330039</v>
      </c>
      <c r="N19" s="160">
        <f t="shared" ref="N19:N73" si="1">IF(M19&lt;&gt;0,+H19-M19,0)</f>
        <v>0</v>
      </c>
      <c r="O19" s="160">
        <f t="shared" ref="O19:O73" si="2">+N19-L19</f>
        <v>0</v>
      </c>
      <c r="P19" s="4"/>
      <c r="R19" s="1"/>
      <c r="S19" s="1"/>
      <c r="T19" s="1"/>
      <c r="U19" s="1"/>
    </row>
    <row r="20" spans="2:21">
      <c r="B20" t="str">
        <f t="shared" si="0"/>
        <v/>
      </c>
      <c r="C20" s="155">
        <f>IF(D11="","-",+C19+1)</f>
        <v>2017</v>
      </c>
      <c r="D20" s="394">
        <v>1787835.9944905541</v>
      </c>
      <c r="E20" s="393">
        <v>36662.21925080863</v>
      </c>
      <c r="F20" s="394">
        <v>1751173.7752397454</v>
      </c>
      <c r="G20" s="393">
        <v>231201.53737593384</v>
      </c>
      <c r="H20" s="398">
        <v>231201.53737593384</v>
      </c>
      <c r="I20" s="158">
        <f t="shared" ref="I20:I73" si="3">H20-G20</f>
        <v>0</v>
      </c>
      <c r="J20" s="158"/>
      <c r="K20" s="344">
        <f>G20</f>
        <v>231201.53737593384</v>
      </c>
      <c r="L20" s="345">
        <f>IF(K20&lt;&gt;0,+G20-K20,0)</f>
        <v>0</v>
      </c>
      <c r="M20" s="344">
        <f>H20</f>
        <v>231201.53737593384</v>
      </c>
      <c r="N20" s="160">
        <f>IF(M20&lt;&gt;0,+H20-M20,0)</f>
        <v>0</v>
      </c>
      <c r="O20" s="160">
        <f>+N20-L20</f>
        <v>0</v>
      </c>
      <c r="P20" s="4"/>
      <c r="R20" s="1"/>
      <c r="S20" s="1"/>
      <c r="T20" s="1"/>
      <c r="U20" s="1"/>
    </row>
    <row r="21" spans="2:21">
      <c r="B21" t="str">
        <f t="shared" si="0"/>
        <v/>
      </c>
      <c r="C21" s="155">
        <f>IF(D11="","-",+C20+1)</f>
        <v>2018</v>
      </c>
      <c r="D21" s="394">
        <v>1751173.7752397454</v>
      </c>
      <c r="E21" s="393">
        <v>45729.148838219895</v>
      </c>
      <c r="F21" s="394">
        <v>1705444.6264015255</v>
      </c>
      <c r="G21" s="393">
        <v>248789.97176998571</v>
      </c>
      <c r="H21" s="398">
        <v>248789.97176998571</v>
      </c>
      <c r="I21" s="158">
        <v>0</v>
      </c>
      <c r="J21" s="158"/>
      <c r="K21" s="344">
        <f>G21</f>
        <v>248789.97176998571</v>
      </c>
      <c r="L21" s="345">
        <f>IF(K21&lt;&gt;0,+G21-K21,0)</f>
        <v>0</v>
      </c>
      <c r="M21" s="344">
        <f>H21</f>
        <v>248789.97176998571</v>
      </c>
      <c r="N21" s="160">
        <f>IF(M21&lt;&gt;0,+H21-M21,0)</f>
        <v>0</v>
      </c>
      <c r="O21" s="160">
        <f>+N21-L21</f>
        <v>0</v>
      </c>
      <c r="P21" s="4"/>
      <c r="R21" s="1"/>
      <c r="S21" s="1"/>
      <c r="T21" s="1"/>
      <c r="U21" s="1"/>
    </row>
    <row r="22" spans="2:21">
      <c r="B22" t="str">
        <f t="shared" si="0"/>
        <v/>
      </c>
      <c r="C22" s="155">
        <f>IF(D11="","-",+C21+1)</f>
        <v>2019</v>
      </c>
      <c r="D22" s="164">
        <f>IF(F21+SUM(E$17:E21)=D$10,F21,D$10-SUM(E$17:E21))</f>
        <v>1705444.6264015255</v>
      </c>
      <c r="E22" s="162">
        <f t="shared" ref="E22:E73" si="4">IF(+$I$14&lt;F21,$I$14,D22)</f>
        <v>45729.148838219895</v>
      </c>
      <c r="F22" s="161">
        <f t="shared" ref="F22:F73" si="5">+D22-E22</f>
        <v>1659715.4775633055</v>
      </c>
      <c r="G22" s="163">
        <f t="shared" ref="G22:G73" si="6">(D22+F22)/2*I$12+E22</f>
        <v>243417.20711036975</v>
      </c>
      <c r="H22" s="145">
        <f t="shared" ref="H22:H73" si="7">+(D22+F22)/2*I$13+E22</f>
        <v>243417.20711036975</v>
      </c>
      <c r="I22" s="158">
        <f t="shared" si="3"/>
        <v>0</v>
      </c>
      <c r="J22" s="158"/>
      <c r="K22" s="316"/>
      <c r="L22" s="160">
        <f t="shared" ref="L22:L73" si="8">IF(K22&lt;&gt;0,+G22-K22,0)</f>
        <v>0</v>
      </c>
      <c r="M22" s="316"/>
      <c r="N22" s="160">
        <f t="shared" si="1"/>
        <v>0</v>
      </c>
      <c r="O22" s="160">
        <f t="shared" si="2"/>
        <v>0</v>
      </c>
      <c r="P22" s="4"/>
      <c r="R22" s="1"/>
      <c r="S22" s="1"/>
      <c r="T22" s="1"/>
      <c r="U22" s="1"/>
    </row>
    <row r="23" spans="2:21">
      <c r="B23" t="str">
        <f t="shared" si="0"/>
        <v/>
      </c>
      <c r="C23" s="155">
        <f>IF(D11="","-",+C22+1)</f>
        <v>2020</v>
      </c>
      <c r="D23" s="164">
        <f>IF(F22+SUM(E$17:E22)=D$10,F22,D$10-SUM(E$17:E22))</f>
        <v>1659715.4775633055</v>
      </c>
      <c r="E23" s="162">
        <f t="shared" si="4"/>
        <v>45729.148838219895</v>
      </c>
      <c r="F23" s="161">
        <f t="shared" si="5"/>
        <v>1613986.3287250856</v>
      </c>
      <c r="G23" s="163">
        <f t="shared" si="6"/>
        <v>238044.44245075388</v>
      </c>
      <c r="H23" s="145">
        <f t="shared" si="7"/>
        <v>238044.44245075388</v>
      </c>
      <c r="I23" s="158">
        <f t="shared" si="3"/>
        <v>0</v>
      </c>
      <c r="J23" s="158"/>
      <c r="K23" s="316"/>
      <c r="L23" s="160">
        <f t="shared" si="8"/>
        <v>0</v>
      </c>
      <c r="M23" s="316"/>
      <c r="N23" s="160">
        <f t="shared" si="1"/>
        <v>0</v>
      </c>
      <c r="O23" s="160">
        <f t="shared" si="2"/>
        <v>0</v>
      </c>
      <c r="P23" s="4"/>
      <c r="R23" s="1"/>
      <c r="S23" s="1"/>
      <c r="T23" s="1"/>
      <c r="U23" s="1"/>
    </row>
    <row r="24" spans="2:21">
      <c r="B24" t="str">
        <f t="shared" si="0"/>
        <v/>
      </c>
      <c r="C24" s="155">
        <f>IF(D11="","-",+C23+1)</f>
        <v>2021</v>
      </c>
      <c r="D24" s="164">
        <f>IF(F23+SUM(E$17:E23)=D$10,F23,D$10-SUM(E$17:E23))</f>
        <v>1613986.3287250856</v>
      </c>
      <c r="E24" s="162">
        <f t="shared" si="4"/>
        <v>45729.148838219895</v>
      </c>
      <c r="F24" s="161">
        <f t="shared" si="5"/>
        <v>1568257.1798868657</v>
      </c>
      <c r="G24" s="163">
        <f t="shared" si="6"/>
        <v>232671.67779113792</v>
      </c>
      <c r="H24" s="145">
        <f t="shared" si="7"/>
        <v>232671.67779113792</v>
      </c>
      <c r="I24" s="158">
        <f t="shared" si="3"/>
        <v>0</v>
      </c>
      <c r="J24" s="158"/>
      <c r="K24" s="316"/>
      <c r="L24" s="160">
        <f t="shared" si="8"/>
        <v>0</v>
      </c>
      <c r="M24" s="316"/>
      <c r="N24" s="160">
        <f t="shared" si="1"/>
        <v>0</v>
      </c>
      <c r="O24" s="160">
        <f t="shared" si="2"/>
        <v>0</v>
      </c>
      <c r="P24" s="4"/>
      <c r="R24" s="1"/>
      <c r="S24" s="1"/>
      <c r="T24" s="1"/>
      <c r="U24" s="1"/>
    </row>
    <row r="25" spans="2:21">
      <c r="B25" t="str">
        <f t="shared" si="0"/>
        <v/>
      </c>
      <c r="C25" s="155">
        <f>IF(D11="","-",+C24+1)</f>
        <v>2022</v>
      </c>
      <c r="D25" s="164">
        <f>IF(F24+SUM(E$17:E24)=D$10,F24,D$10-SUM(E$17:E24))</f>
        <v>1568257.1798868657</v>
      </c>
      <c r="E25" s="162">
        <f t="shared" si="4"/>
        <v>45729.148838219895</v>
      </c>
      <c r="F25" s="161">
        <f t="shared" si="5"/>
        <v>1522528.0310486457</v>
      </c>
      <c r="G25" s="163">
        <f t="shared" si="6"/>
        <v>227298.91313152204</v>
      </c>
      <c r="H25" s="145">
        <f t="shared" si="7"/>
        <v>227298.91313152204</v>
      </c>
      <c r="I25" s="158">
        <f t="shared" si="3"/>
        <v>0</v>
      </c>
      <c r="J25" s="158"/>
      <c r="K25" s="316"/>
      <c r="L25" s="160">
        <f t="shared" si="8"/>
        <v>0</v>
      </c>
      <c r="M25" s="316"/>
      <c r="N25" s="160">
        <f t="shared" si="1"/>
        <v>0</v>
      </c>
      <c r="O25" s="160">
        <f t="shared" si="2"/>
        <v>0</v>
      </c>
      <c r="P25" s="4"/>
      <c r="R25" s="1"/>
      <c r="S25" s="1"/>
      <c r="T25" s="1"/>
      <c r="U25" s="1"/>
    </row>
    <row r="26" spans="2:21">
      <c r="B26" t="str">
        <f t="shared" si="0"/>
        <v/>
      </c>
      <c r="C26" s="155">
        <f>IF(D11="","-",+C25+1)</f>
        <v>2023</v>
      </c>
      <c r="D26" s="164">
        <f>IF(F25+SUM(E$17:E25)=D$10,F25,D$10-SUM(E$17:E25))</f>
        <v>1522528.0310486457</v>
      </c>
      <c r="E26" s="162">
        <f t="shared" si="4"/>
        <v>45729.148838219895</v>
      </c>
      <c r="F26" s="161">
        <f t="shared" si="5"/>
        <v>1476798.8822104258</v>
      </c>
      <c r="G26" s="163">
        <f t="shared" si="6"/>
        <v>221926.14847190608</v>
      </c>
      <c r="H26" s="145">
        <f t="shared" si="7"/>
        <v>221926.14847190608</v>
      </c>
      <c r="I26" s="158">
        <f t="shared" si="3"/>
        <v>0</v>
      </c>
      <c r="J26" s="158"/>
      <c r="K26" s="316"/>
      <c r="L26" s="160">
        <f t="shared" si="8"/>
        <v>0</v>
      </c>
      <c r="M26" s="316"/>
      <c r="N26" s="160">
        <f t="shared" si="1"/>
        <v>0</v>
      </c>
      <c r="O26" s="160">
        <f t="shared" si="2"/>
        <v>0</v>
      </c>
      <c r="P26" s="4"/>
      <c r="R26" s="1"/>
      <c r="S26" s="1"/>
      <c r="T26" s="1"/>
      <c r="U26" s="1"/>
    </row>
    <row r="27" spans="2:21">
      <c r="B27" t="str">
        <f t="shared" si="0"/>
        <v/>
      </c>
      <c r="C27" s="155">
        <f>IF(D11="","-",+C26+1)</f>
        <v>2024</v>
      </c>
      <c r="D27" s="164">
        <f>IF(F26+SUM(E$17:E26)=D$10,F26,D$10-SUM(E$17:E26))</f>
        <v>1476798.8822104258</v>
      </c>
      <c r="E27" s="162">
        <f t="shared" si="4"/>
        <v>45729.148838219895</v>
      </c>
      <c r="F27" s="161">
        <f t="shared" si="5"/>
        <v>1431069.7333722059</v>
      </c>
      <c r="G27" s="163">
        <f t="shared" si="6"/>
        <v>216553.38381229021</v>
      </c>
      <c r="H27" s="145">
        <f t="shared" si="7"/>
        <v>216553.38381229021</v>
      </c>
      <c r="I27" s="158">
        <f t="shared" si="3"/>
        <v>0</v>
      </c>
      <c r="J27" s="158"/>
      <c r="K27" s="316"/>
      <c r="L27" s="160">
        <f t="shared" si="8"/>
        <v>0</v>
      </c>
      <c r="M27" s="316"/>
      <c r="N27" s="160">
        <f t="shared" si="1"/>
        <v>0</v>
      </c>
      <c r="O27" s="160">
        <f t="shared" si="2"/>
        <v>0</v>
      </c>
      <c r="P27" s="4"/>
      <c r="R27" s="1"/>
      <c r="S27" s="1"/>
      <c r="T27" s="1"/>
      <c r="U27" s="1"/>
    </row>
    <row r="28" spans="2:21">
      <c r="B28" t="str">
        <f t="shared" si="0"/>
        <v/>
      </c>
      <c r="C28" s="155">
        <f>IF(D11="","-",+C27+1)</f>
        <v>2025</v>
      </c>
      <c r="D28" s="164">
        <f>IF(F27+SUM(E$17:E27)=D$10,F27,D$10-SUM(E$17:E27))</f>
        <v>1431069.7333722059</v>
      </c>
      <c r="E28" s="162">
        <f t="shared" si="4"/>
        <v>45729.148838219895</v>
      </c>
      <c r="F28" s="161">
        <f t="shared" si="5"/>
        <v>1385340.5845339859</v>
      </c>
      <c r="G28" s="163">
        <f t="shared" si="6"/>
        <v>211180.61915267425</v>
      </c>
      <c r="H28" s="145">
        <f t="shared" si="7"/>
        <v>211180.61915267425</v>
      </c>
      <c r="I28" s="158">
        <f t="shared" si="3"/>
        <v>0</v>
      </c>
      <c r="J28" s="158"/>
      <c r="K28" s="316"/>
      <c r="L28" s="160">
        <f t="shared" si="8"/>
        <v>0</v>
      </c>
      <c r="M28" s="316"/>
      <c r="N28" s="160">
        <f t="shared" si="1"/>
        <v>0</v>
      </c>
      <c r="O28" s="160">
        <f t="shared" si="2"/>
        <v>0</v>
      </c>
      <c r="P28" s="4"/>
      <c r="R28" s="1"/>
      <c r="S28" s="1"/>
      <c r="T28" s="1"/>
      <c r="U28" s="1"/>
    </row>
    <row r="29" spans="2:21">
      <c r="B29" t="str">
        <f t="shared" si="0"/>
        <v/>
      </c>
      <c r="C29" s="155">
        <f>IF(D11="","-",+C28+1)</f>
        <v>2026</v>
      </c>
      <c r="D29" s="164">
        <f>IF(F28+SUM(E$17:E28)=D$10,F28,D$10-SUM(E$17:E28))</f>
        <v>1385340.5845339859</v>
      </c>
      <c r="E29" s="162">
        <f t="shared" si="4"/>
        <v>45729.148838219895</v>
      </c>
      <c r="F29" s="161">
        <f t="shared" si="5"/>
        <v>1339611.435695766</v>
      </c>
      <c r="G29" s="163">
        <f t="shared" si="6"/>
        <v>205807.85449305837</v>
      </c>
      <c r="H29" s="145">
        <f t="shared" si="7"/>
        <v>205807.85449305837</v>
      </c>
      <c r="I29" s="158">
        <f t="shared" si="3"/>
        <v>0</v>
      </c>
      <c r="J29" s="158"/>
      <c r="K29" s="316"/>
      <c r="L29" s="160">
        <f t="shared" si="8"/>
        <v>0</v>
      </c>
      <c r="M29" s="316"/>
      <c r="N29" s="160">
        <f t="shared" si="1"/>
        <v>0</v>
      </c>
      <c r="O29" s="160">
        <f t="shared" si="2"/>
        <v>0</v>
      </c>
      <c r="P29" s="4"/>
      <c r="R29" s="1"/>
      <c r="S29" s="1"/>
      <c r="T29" s="1"/>
      <c r="U29" s="1"/>
    </row>
    <row r="30" spans="2:21">
      <c r="B30" t="str">
        <f t="shared" si="0"/>
        <v/>
      </c>
      <c r="C30" s="155">
        <f>IF(D11="","-",+C29+1)</f>
        <v>2027</v>
      </c>
      <c r="D30" s="164">
        <f>IF(F29+SUM(E$17:E29)=D$10,F29,D$10-SUM(E$17:E29))</f>
        <v>1339611.435695766</v>
      </c>
      <c r="E30" s="162">
        <f t="shared" si="4"/>
        <v>45729.148838219895</v>
      </c>
      <c r="F30" s="161">
        <f t="shared" si="5"/>
        <v>1293882.2868575461</v>
      </c>
      <c r="G30" s="163">
        <f t="shared" si="6"/>
        <v>200435.08983344241</v>
      </c>
      <c r="H30" s="145">
        <f t="shared" si="7"/>
        <v>200435.08983344241</v>
      </c>
      <c r="I30" s="158">
        <f t="shared" si="3"/>
        <v>0</v>
      </c>
      <c r="J30" s="158"/>
      <c r="K30" s="316"/>
      <c r="L30" s="160">
        <f t="shared" si="8"/>
        <v>0</v>
      </c>
      <c r="M30" s="316"/>
      <c r="N30" s="160">
        <f t="shared" si="1"/>
        <v>0</v>
      </c>
      <c r="O30" s="160">
        <f t="shared" si="2"/>
        <v>0</v>
      </c>
      <c r="P30" s="4"/>
      <c r="R30" s="1"/>
      <c r="S30" s="1"/>
      <c r="T30" s="1"/>
      <c r="U30" s="1"/>
    </row>
    <row r="31" spans="2:21">
      <c r="B31" t="str">
        <f t="shared" si="0"/>
        <v/>
      </c>
      <c r="C31" s="155">
        <f>IF(D11="","-",+C30+1)</f>
        <v>2028</v>
      </c>
      <c r="D31" s="164">
        <f>IF(F30+SUM(E$17:E30)=D$10,F30,D$10-SUM(E$17:E30))</f>
        <v>1293882.2868575461</v>
      </c>
      <c r="E31" s="162">
        <f t="shared" si="4"/>
        <v>45729.148838219895</v>
      </c>
      <c r="F31" s="161">
        <f t="shared" si="5"/>
        <v>1248153.1380193261</v>
      </c>
      <c r="G31" s="163">
        <f t="shared" si="6"/>
        <v>195062.32517382654</v>
      </c>
      <c r="H31" s="145">
        <f t="shared" si="7"/>
        <v>195062.32517382654</v>
      </c>
      <c r="I31" s="158">
        <f t="shared" si="3"/>
        <v>0</v>
      </c>
      <c r="J31" s="158"/>
      <c r="K31" s="316"/>
      <c r="L31" s="160">
        <f t="shared" si="8"/>
        <v>0</v>
      </c>
      <c r="M31" s="316"/>
      <c r="N31" s="160">
        <f t="shared" si="1"/>
        <v>0</v>
      </c>
      <c r="O31" s="160">
        <f t="shared" si="2"/>
        <v>0</v>
      </c>
      <c r="P31" s="4"/>
      <c r="Q31" s="7"/>
      <c r="R31" s="4"/>
      <c r="S31" s="4"/>
      <c r="T31" s="4"/>
      <c r="U31" s="1"/>
    </row>
    <row r="32" spans="2:21">
      <c r="B32" t="str">
        <f t="shared" si="0"/>
        <v/>
      </c>
      <c r="C32" s="155">
        <f>IF(D12="","-",+C31+1)</f>
        <v>2029</v>
      </c>
      <c r="D32" s="164">
        <f>IF(F31+SUM(E$17:E31)=D$10,F31,D$10-SUM(E$17:E31))</f>
        <v>1248153.1380193261</v>
      </c>
      <c r="E32" s="162">
        <f>IF(+$I$14&lt;F31,$I$14,D32)</f>
        <v>45729.148838219895</v>
      </c>
      <c r="F32" s="161">
        <f>+D32-E32</f>
        <v>1202423.9891811062</v>
      </c>
      <c r="G32" s="163">
        <f t="shared" si="6"/>
        <v>189689.56051421058</v>
      </c>
      <c r="H32" s="145">
        <f t="shared" si="7"/>
        <v>189689.56051421058</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2030</v>
      </c>
      <c r="D33" s="164">
        <f>IF(F32+SUM(E$17:E32)=D$10,F32,D$10-SUM(E$17:E32))</f>
        <v>1202423.9891811062</v>
      </c>
      <c r="E33" s="162">
        <f>IF(+$I$14&lt;F32,$I$14,D33)</f>
        <v>45729.148838219895</v>
      </c>
      <c r="F33" s="161">
        <f>+D33-E33</f>
        <v>1156694.8403428863</v>
      </c>
      <c r="G33" s="163">
        <f t="shared" si="6"/>
        <v>184316.7958545947</v>
      </c>
      <c r="H33" s="145">
        <f t="shared" si="7"/>
        <v>184316.7958545947</v>
      </c>
      <c r="I33" s="158">
        <f>H33-G33</f>
        <v>0</v>
      </c>
      <c r="J33" s="158"/>
      <c r="K33" s="316"/>
      <c r="L33" s="160">
        <f>IF(K33&lt;&gt;0,+G33-K33,0)</f>
        <v>0</v>
      </c>
      <c r="M33" s="316"/>
      <c r="N33" s="160">
        <f>IF(M33&lt;&gt;0,+H33-M33,0)</f>
        <v>0</v>
      </c>
      <c r="O33" s="160">
        <f>+N33-L33</f>
        <v>0</v>
      </c>
      <c r="P33" s="4"/>
      <c r="R33" s="1"/>
      <c r="S33" s="1"/>
      <c r="T33" s="1"/>
      <c r="U33" s="1"/>
    </row>
    <row r="34" spans="2:21">
      <c r="B34" t="str">
        <f t="shared" si="0"/>
        <v/>
      </c>
      <c r="C34" s="422">
        <f>IF(D11="","-",+C33+1)</f>
        <v>2031</v>
      </c>
      <c r="D34" s="431">
        <f>IF(F33+SUM(E$17:E33)=D$10,F33,D$10-SUM(E$17:E33))</f>
        <v>1156694.8403428863</v>
      </c>
      <c r="E34" s="424">
        <f t="shared" si="4"/>
        <v>45729.148838219895</v>
      </c>
      <c r="F34" s="423">
        <f t="shared" si="5"/>
        <v>1110965.6915046663</v>
      </c>
      <c r="G34" s="425">
        <f t="shared" si="6"/>
        <v>178944.03119497874</v>
      </c>
      <c r="H34" s="426">
        <f t="shared" si="7"/>
        <v>178944.03119497874</v>
      </c>
      <c r="I34" s="427">
        <f t="shared" si="3"/>
        <v>0</v>
      </c>
      <c r="J34" s="427"/>
      <c r="K34" s="428"/>
      <c r="L34" s="429">
        <f t="shared" si="8"/>
        <v>0</v>
      </c>
      <c r="M34" s="428"/>
      <c r="N34" s="429">
        <f t="shared" si="1"/>
        <v>0</v>
      </c>
      <c r="O34" s="429">
        <f t="shared" si="2"/>
        <v>0</v>
      </c>
      <c r="P34" s="430"/>
      <c r="Q34" s="290"/>
      <c r="R34" s="430"/>
      <c r="S34" s="430"/>
      <c r="T34" s="430"/>
      <c r="U34" s="1"/>
    </row>
    <row r="35" spans="2:21">
      <c r="B35" t="str">
        <f t="shared" si="0"/>
        <v/>
      </c>
      <c r="C35" s="155">
        <f>IF(D11="","-",+C34+1)</f>
        <v>2032</v>
      </c>
      <c r="D35" s="164">
        <f>IF(F34+SUM(E$17:E34)=D$10,F34,D$10-SUM(E$17:E34))</f>
        <v>1110965.6915046663</v>
      </c>
      <c r="E35" s="162">
        <f t="shared" si="4"/>
        <v>45729.148838219895</v>
      </c>
      <c r="F35" s="161">
        <f t="shared" si="5"/>
        <v>1065236.5426664464</v>
      </c>
      <c r="G35" s="163">
        <f t="shared" si="6"/>
        <v>173571.26653536284</v>
      </c>
      <c r="H35" s="145">
        <f t="shared" si="7"/>
        <v>173571.26653536284</v>
      </c>
      <c r="I35" s="158">
        <f t="shared" si="3"/>
        <v>0</v>
      </c>
      <c r="J35" s="158"/>
      <c r="K35" s="316"/>
      <c r="L35" s="160">
        <f t="shared" si="8"/>
        <v>0</v>
      </c>
      <c r="M35" s="316"/>
      <c r="N35" s="160">
        <f t="shared" si="1"/>
        <v>0</v>
      </c>
      <c r="O35" s="160">
        <f t="shared" si="2"/>
        <v>0</v>
      </c>
      <c r="P35" s="4"/>
      <c r="R35" s="1"/>
      <c r="S35" s="1"/>
      <c r="T35" s="1"/>
      <c r="U35" s="1"/>
    </row>
    <row r="36" spans="2:21">
      <c r="B36" t="str">
        <f t="shared" si="0"/>
        <v/>
      </c>
      <c r="C36" s="155">
        <f>IF(D11="","-",+C35+1)</f>
        <v>2033</v>
      </c>
      <c r="D36" s="164">
        <f>IF(F35+SUM(E$17:E35)=D$10,F35,D$10-SUM(E$17:E35))</f>
        <v>1065236.5426664464</v>
      </c>
      <c r="E36" s="162">
        <f t="shared" si="4"/>
        <v>45729.148838219895</v>
      </c>
      <c r="F36" s="161">
        <f t="shared" si="5"/>
        <v>1019507.3938282265</v>
      </c>
      <c r="G36" s="163">
        <f t="shared" si="6"/>
        <v>168198.50187574691</v>
      </c>
      <c r="H36" s="145">
        <f t="shared" si="7"/>
        <v>168198.50187574691</v>
      </c>
      <c r="I36" s="158">
        <f t="shared" si="3"/>
        <v>0</v>
      </c>
      <c r="J36" s="158"/>
      <c r="K36" s="316"/>
      <c r="L36" s="160">
        <f t="shared" si="8"/>
        <v>0</v>
      </c>
      <c r="M36" s="316"/>
      <c r="N36" s="160">
        <f t="shared" si="1"/>
        <v>0</v>
      </c>
      <c r="O36" s="160">
        <f t="shared" si="2"/>
        <v>0</v>
      </c>
      <c r="P36" s="4"/>
      <c r="R36" s="1"/>
      <c r="S36" s="1"/>
      <c r="T36" s="1"/>
      <c r="U36" s="1"/>
    </row>
    <row r="37" spans="2:21">
      <c r="B37" t="str">
        <f t="shared" si="0"/>
        <v/>
      </c>
      <c r="C37" s="155">
        <f>IF(D11="","-",+C36+1)</f>
        <v>2034</v>
      </c>
      <c r="D37" s="164">
        <f>IF(F36+SUM(E$17:E36)=D$10,F36,D$10-SUM(E$17:E36))</f>
        <v>1019507.3938282265</v>
      </c>
      <c r="E37" s="162">
        <f t="shared" si="4"/>
        <v>45729.148838219895</v>
      </c>
      <c r="F37" s="161">
        <f t="shared" si="5"/>
        <v>973778.24499000655</v>
      </c>
      <c r="G37" s="163">
        <f t="shared" si="6"/>
        <v>162825.737216131</v>
      </c>
      <c r="H37" s="145">
        <f t="shared" si="7"/>
        <v>162825.737216131</v>
      </c>
      <c r="I37" s="158">
        <f t="shared" si="3"/>
        <v>0</v>
      </c>
      <c r="J37" s="158"/>
      <c r="K37" s="316"/>
      <c r="L37" s="160">
        <f t="shared" si="8"/>
        <v>0</v>
      </c>
      <c r="M37" s="316"/>
      <c r="N37" s="160">
        <f t="shared" si="1"/>
        <v>0</v>
      </c>
      <c r="O37" s="160">
        <f t="shared" si="2"/>
        <v>0</v>
      </c>
      <c r="P37" s="4"/>
      <c r="R37" s="1"/>
      <c r="S37" s="1"/>
      <c r="T37" s="1"/>
      <c r="U37" s="1"/>
    </row>
    <row r="38" spans="2:21">
      <c r="B38" t="str">
        <f t="shared" si="0"/>
        <v/>
      </c>
      <c r="C38" s="155">
        <f>IF(D11="","-",+C37+1)</f>
        <v>2035</v>
      </c>
      <c r="D38" s="164">
        <f>IF(F37+SUM(E$17:E37)=D$10,F37,D$10-SUM(E$17:E37))</f>
        <v>973778.24499000655</v>
      </c>
      <c r="E38" s="162">
        <f t="shared" si="4"/>
        <v>45729.148838219895</v>
      </c>
      <c r="F38" s="161">
        <f t="shared" si="5"/>
        <v>928049.09615178662</v>
      </c>
      <c r="G38" s="163">
        <f t="shared" si="6"/>
        <v>157452.97255651507</v>
      </c>
      <c r="H38" s="145">
        <f t="shared" si="7"/>
        <v>157452.97255651507</v>
      </c>
      <c r="I38" s="158">
        <f t="shared" si="3"/>
        <v>0</v>
      </c>
      <c r="J38" s="158"/>
      <c r="K38" s="316"/>
      <c r="L38" s="160">
        <f t="shared" si="8"/>
        <v>0</v>
      </c>
      <c r="M38" s="316"/>
      <c r="N38" s="160">
        <f t="shared" si="1"/>
        <v>0</v>
      </c>
      <c r="O38" s="160">
        <f t="shared" si="2"/>
        <v>0</v>
      </c>
      <c r="P38" s="4"/>
      <c r="R38" s="1"/>
      <c r="S38" s="1"/>
      <c r="T38" s="1"/>
      <c r="U38" s="1"/>
    </row>
    <row r="39" spans="2:21">
      <c r="B39" t="str">
        <f t="shared" si="0"/>
        <v/>
      </c>
      <c r="C39" s="155">
        <f>IF(D11="","-",+C38+1)</f>
        <v>2036</v>
      </c>
      <c r="D39" s="164">
        <f>IF(F38+SUM(E$17:E38)=D$10,F38,D$10-SUM(E$17:E38))</f>
        <v>928049.09615178662</v>
      </c>
      <c r="E39" s="162">
        <f t="shared" si="4"/>
        <v>45729.148838219895</v>
      </c>
      <c r="F39" s="161">
        <f t="shared" si="5"/>
        <v>882319.94731356669</v>
      </c>
      <c r="G39" s="163">
        <f t="shared" si="6"/>
        <v>152080.20789689917</v>
      </c>
      <c r="H39" s="145">
        <f t="shared" si="7"/>
        <v>152080.20789689917</v>
      </c>
      <c r="I39" s="158">
        <f t="shared" si="3"/>
        <v>0</v>
      </c>
      <c r="J39" s="158"/>
      <c r="K39" s="316"/>
      <c r="L39" s="160">
        <f t="shared" si="8"/>
        <v>0</v>
      </c>
      <c r="M39" s="316"/>
      <c r="N39" s="160">
        <f t="shared" si="1"/>
        <v>0</v>
      </c>
      <c r="O39" s="160">
        <f t="shared" si="2"/>
        <v>0</v>
      </c>
      <c r="P39" s="4"/>
      <c r="R39" s="1"/>
      <c r="S39" s="1"/>
      <c r="T39" s="1"/>
      <c r="U39" s="1"/>
    </row>
    <row r="40" spans="2:21">
      <c r="B40" t="str">
        <f t="shared" si="0"/>
        <v/>
      </c>
      <c r="C40" s="155">
        <f>IF(D11="","-",+C39+1)</f>
        <v>2037</v>
      </c>
      <c r="D40" s="164">
        <f>IF(F39+SUM(E$17:E39)=D$10,F39,D$10-SUM(E$17:E39))</f>
        <v>882319.94731356669</v>
      </c>
      <c r="E40" s="162">
        <f t="shared" si="4"/>
        <v>45729.148838219895</v>
      </c>
      <c r="F40" s="161">
        <f t="shared" si="5"/>
        <v>836590.79847534676</v>
      </c>
      <c r="G40" s="163">
        <f t="shared" si="6"/>
        <v>146707.44323728324</v>
      </c>
      <c r="H40" s="145">
        <f t="shared" si="7"/>
        <v>146707.44323728324</v>
      </c>
      <c r="I40" s="158">
        <f t="shared" si="3"/>
        <v>0</v>
      </c>
      <c r="J40" s="158"/>
      <c r="K40" s="316"/>
      <c r="L40" s="160">
        <f t="shared" si="8"/>
        <v>0</v>
      </c>
      <c r="M40" s="316"/>
      <c r="N40" s="160">
        <f t="shared" si="1"/>
        <v>0</v>
      </c>
      <c r="O40" s="160">
        <f t="shared" si="2"/>
        <v>0</v>
      </c>
      <c r="P40" s="4"/>
      <c r="R40" s="1"/>
      <c r="S40" s="1"/>
      <c r="T40" s="1"/>
      <c r="U40" s="1"/>
    </row>
    <row r="41" spans="2:21">
      <c r="B41" t="str">
        <f t="shared" si="0"/>
        <v/>
      </c>
      <c r="C41" s="155">
        <f>IF(D12="","-",+C40+1)</f>
        <v>2038</v>
      </c>
      <c r="D41" s="164">
        <f>IF(F40+SUM(E$17:E40)=D$10,F40,D$10-SUM(E$17:E40))</f>
        <v>836590.79847534676</v>
      </c>
      <c r="E41" s="162">
        <f t="shared" si="4"/>
        <v>45729.148838219895</v>
      </c>
      <c r="F41" s="161">
        <f t="shared" si="5"/>
        <v>790861.64963712683</v>
      </c>
      <c r="G41" s="163">
        <f t="shared" si="6"/>
        <v>141334.67857766734</v>
      </c>
      <c r="H41" s="145">
        <f t="shared" si="7"/>
        <v>141334.67857766734</v>
      </c>
      <c r="I41" s="158">
        <f t="shared" si="3"/>
        <v>0</v>
      </c>
      <c r="J41" s="158"/>
      <c r="K41" s="316"/>
      <c r="L41" s="160">
        <f t="shared" si="8"/>
        <v>0</v>
      </c>
      <c r="M41" s="316"/>
      <c r="N41" s="160">
        <f t="shared" si="1"/>
        <v>0</v>
      </c>
      <c r="O41" s="160">
        <f t="shared" si="2"/>
        <v>0</v>
      </c>
      <c r="P41" s="4"/>
      <c r="R41" s="1"/>
      <c r="S41" s="1"/>
      <c r="T41" s="1"/>
      <c r="U41" s="1"/>
    </row>
    <row r="42" spans="2:21">
      <c r="B42" t="str">
        <f t="shared" si="0"/>
        <v/>
      </c>
      <c r="C42" s="155">
        <f>IF(D13="","-",+C41+1)</f>
        <v>2039</v>
      </c>
      <c r="D42" s="164">
        <f>IF(F41+SUM(E$17:E41)=D$10,F41,D$10-SUM(E$17:E41))</f>
        <v>790861.64963712683</v>
      </c>
      <c r="E42" s="162">
        <f t="shared" si="4"/>
        <v>45729.148838219895</v>
      </c>
      <c r="F42" s="161">
        <f t="shared" si="5"/>
        <v>745132.5007989069</v>
      </c>
      <c r="G42" s="163">
        <f t="shared" si="6"/>
        <v>135961.9139180514</v>
      </c>
      <c r="H42" s="145">
        <f t="shared" si="7"/>
        <v>135961.9139180514</v>
      </c>
      <c r="I42" s="158">
        <f t="shared" si="3"/>
        <v>0</v>
      </c>
      <c r="J42" s="158"/>
      <c r="K42" s="316"/>
      <c r="L42" s="160">
        <f t="shared" si="8"/>
        <v>0</v>
      </c>
      <c r="M42" s="316"/>
      <c r="N42" s="160">
        <f t="shared" si="1"/>
        <v>0</v>
      </c>
      <c r="O42" s="160">
        <f t="shared" si="2"/>
        <v>0</v>
      </c>
      <c r="P42" s="4"/>
      <c r="R42" s="1"/>
      <c r="S42" s="1"/>
      <c r="T42" s="1"/>
      <c r="U42" s="1"/>
    </row>
    <row r="43" spans="2:21">
      <c r="B43" t="str">
        <f t="shared" si="0"/>
        <v/>
      </c>
      <c r="C43" s="155">
        <f>IF(D14="","-",+C42+1)</f>
        <v>2040</v>
      </c>
      <c r="D43" s="164">
        <f>IF(F42+SUM(E$17:E42)=D$10,F42,D$10-SUM(E$17:E42))</f>
        <v>745132.5007989069</v>
      </c>
      <c r="E43" s="162">
        <f t="shared" si="4"/>
        <v>45729.148838219895</v>
      </c>
      <c r="F43" s="161">
        <f t="shared" si="5"/>
        <v>699403.35196068697</v>
      </c>
      <c r="G43" s="163">
        <f t="shared" si="6"/>
        <v>130589.1492584355</v>
      </c>
      <c r="H43" s="145">
        <f t="shared" si="7"/>
        <v>130589.1492584355</v>
      </c>
      <c r="I43" s="158">
        <f t="shared" si="3"/>
        <v>0</v>
      </c>
      <c r="J43" s="158"/>
      <c r="K43" s="316"/>
      <c r="L43" s="160">
        <f t="shared" si="8"/>
        <v>0</v>
      </c>
      <c r="M43" s="316"/>
      <c r="N43" s="160">
        <f t="shared" si="1"/>
        <v>0</v>
      </c>
      <c r="O43" s="160">
        <f t="shared" si="2"/>
        <v>0</v>
      </c>
      <c r="P43" s="4"/>
      <c r="R43" s="1"/>
      <c r="S43" s="1"/>
      <c r="T43" s="1"/>
      <c r="U43" s="1"/>
    </row>
    <row r="44" spans="2:21">
      <c r="B44" t="str">
        <f t="shared" si="0"/>
        <v/>
      </c>
      <c r="C44" s="155">
        <f>IF(D15="","-",+C43+1)</f>
        <v>2041</v>
      </c>
      <c r="D44" s="164">
        <f>IF(F43+SUM(E$17:E43)=D$10,F43,D$10-SUM(E$17:E43))</f>
        <v>699403.35196068697</v>
      </c>
      <c r="E44" s="162">
        <f t="shared" si="4"/>
        <v>45729.148838219895</v>
      </c>
      <c r="F44" s="161">
        <f t="shared" si="5"/>
        <v>653674.20312246704</v>
      </c>
      <c r="G44" s="163">
        <f t="shared" si="6"/>
        <v>125216.38459881957</v>
      </c>
      <c r="H44" s="145">
        <f t="shared" si="7"/>
        <v>125216.38459881957</v>
      </c>
      <c r="I44" s="158">
        <f t="shared" si="3"/>
        <v>0</v>
      </c>
      <c r="J44" s="158"/>
      <c r="K44" s="316"/>
      <c r="L44" s="160">
        <f t="shared" si="8"/>
        <v>0</v>
      </c>
      <c r="M44" s="316"/>
      <c r="N44" s="160">
        <f t="shared" si="1"/>
        <v>0</v>
      </c>
      <c r="O44" s="160">
        <f t="shared" si="2"/>
        <v>0</v>
      </c>
      <c r="P44" s="4"/>
      <c r="R44" s="1"/>
      <c r="S44" s="1"/>
      <c r="T44" s="1"/>
      <c r="U44" s="1"/>
    </row>
    <row r="45" spans="2:21">
      <c r="B45" t="str">
        <f t="shared" si="0"/>
        <v/>
      </c>
      <c r="C45" s="155">
        <f>IF(D11="","-",+C44+1)</f>
        <v>2042</v>
      </c>
      <c r="D45" s="164">
        <f>IF(F44+SUM(E$17:E44)=D$10,F44,D$10-SUM(E$17:E44))</f>
        <v>653674.20312246704</v>
      </c>
      <c r="E45" s="162">
        <f t="shared" si="4"/>
        <v>45729.148838219895</v>
      </c>
      <c r="F45" s="161">
        <f t="shared" si="5"/>
        <v>607945.0542842471</v>
      </c>
      <c r="G45" s="163">
        <f t="shared" si="6"/>
        <v>119843.61993920367</v>
      </c>
      <c r="H45" s="145">
        <f t="shared" si="7"/>
        <v>119843.61993920367</v>
      </c>
      <c r="I45" s="158">
        <f t="shared" si="3"/>
        <v>0</v>
      </c>
      <c r="J45" s="158"/>
      <c r="K45" s="316"/>
      <c r="L45" s="160">
        <f t="shared" si="8"/>
        <v>0</v>
      </c>
      <c r="M45" s="316"/>
      <c r="N45" s="160">
        <f t="shared" si="1"/>
        <v>0</v>
      </c>
      <c r="O45" s="160">
        <f t="shared" si="2"/>
        <v>0</v>
      </c>
      <c r="P45" s="4"/>
      <c r="R45" s="1"/>
      <c r="S45" s="1"/>
      <c r="T45" s="1"/>
      <c r="U45" s="1"/>
    </row>
    <row r="46" spans="2:21">
      <c r="B46" t="str">
        <f t="shared" si="0"/>
        <v/>
      </c>
      <c r="C46" s="155">
        <f>IF(D11="","-",+C45+1)</f>
        <v>2043</v>
      </c>
      <c r="D46" s="164">
        <f>IF(F45+SUM(E$17:E45)=D$10,F45,D$10-SUM(E$17:E45))</f>
        <v>607945.0542842471</v>
      </c>
      <c r="E46" s="162">
        <f t="shared" si="4"/>
        <v>45729.148838219895</v>
      </c>
      <c r="F46" s="161">
        <f t="shared" si="5"/>
        <v>562215.90544602717</v>
      </c>
      <c r="G46" s="163">
        <f t="shared" si="6"/>
        <v>114470.85527958773</v>
      </c>
      <c r="H46" s="145">
        <f t="shared" si="7"/>
        <v>114470.85527958773</v>
      </c>
      <c r="I46" s="158">
        <f t="shared" si="3"/>
        <v>0</v>
      </c>
      <c r="J46" s="158"/>
      <c r="K46" s="316"/>
      <c r="L46" s="160">
        <f t="shared" si="8"/>
        <v>0</v>
      </c>
      <c r="M46" s="316"/>
      <c r="N46" s="160">
        <f t="shared" si="1"/>
        <v>0</v>
      </c>
      <c r="O46" s="160">
        <f t="shared" si="2"/>
        <v>0</v>
      </c>
      <c r="P46" s="4"/>
      <c r="R46" s="1"/>
      <c r="S46" s="1"/>
      <c r="T46" s="1"/>
      <c r="U46" s="1"/>
    </row>
    <row r="47" spans="2:21">
      <c r="B47" t="str">
        <f t="shared" si="0"/>
        <v/>
      </c>
      <c r="C47" s="155">
        <f>IF(D11="","-",+C46+1)</f>
        <v>2044</v>
      </c>
      <c r="D47" s="164">
        <f>IF(F46+SUM(E$17:E46)=D$10,F46,D$10-SUM(E$17:E46))</f>
        <v>562215.90544602717</v>
      </c>
      <c r="E47" s="162">
        <f t="shared" si="4"/>
        <v>45729.148838219895</v>
      </c>
      <c r="F47" s="161">
        <f t="shared" si="5"/>
        <v>516486.7566078073</v>
      </c>
      <c r="G47" s="163">
        <f t="shared" si="6"/>
        <v>109098.09061997182</v>
      </c>
      <c r="H47" s="145">
        <f t="shared" si="7"/>
        <v>109098.09061997182</v>
      </c>
      <c r="I47" s="158">
        <f t="shared" si="3"/>
        <v>0</v>
      </c>
      <c r="J47" s="158"/>
      <c r="K47" s="316"/>
      <c r="L47" s="160">
        <f t="shared" si="8"/>
        <v>0</v>
      </c>
      <c r="M47" s="316"/>
      <c r="N47" s="160">
        <f t="shared" si="1"/>
        <v>0</v>
      </c>
      <c r="O47" s="160">
        <f t="shared" si="2"/>
        <v>0</v>
      </c>
      <c r="P47" s="4"/>
      <c r="R47" s="1"/>
      <c r="S47" s="1"/>
      <c r="T47" s="1"/>
      <c r="U47" s="1"/>
    </row>
    <row r="48" spans="2:21">
      <c r="B48" t="str">
        <f t="shared" si="0"/>
        <v/>
      </c>
      <c r="C48" s="155">
        <f>IF(D11="","-",+C47+1)</f>
        <v>2045</v>
      </c>
      <c r="D48" s="164">
        <f>IF(F47+SUM(E$17:E47)=D$10,F47,D$10-SUM(E$17:E47))</f>
        <v>516486.7566078073</v>
      </c>
      <c r="E48" s="162">
        <f t="shared" si="4"/>
        <v>45729.148838219895</v>
      </c>
      <c r="F48" s="161">
        <f t="shared" si="5"/>
        <v>470757.60776958743</v>
      </c>
      <c r="G48" s="163">
        <f t="shared" si="6"/>
        <v>103725.32596035591</v>
      </c>
      <c r="H48" s="145">
        <f t="shared" si="7"/>
        <v>103725.32596035591</v>
      </c>
      <c r="I48" s="158">
        <f t="shared" si="3"/>
        <v>0</v>
      </c>
      <c r="J48" s="158"/>
      <c r="K48" s="316"/>
      <c r="L48" s="160">
        <f t="shared" si="8"/>
        <v>0</v>
      </c>
      <c r="M48" s="316"/>
      <c r="N48" s="160">
        <f t="shared" si="1"/>
        <v>0</v>
      </c>
      <c r="O48" s="160">
        <f t="shared" si="2"/>
        <v>0</v>
      </c>
      <c r="P48" s="4"/>
      <c r="R48" s="1"/>
      <c r="S48" s="1"/>
      <c r="T48" s="1"/>
      <c r="U48" s="1"/>
    </row>
    <row r="49" spans="2:21">
      <c r="B49" t="str">
        <f t="shared" si="0"/>
        <v/>
      </c>
      <c r="C49" s="155">
        <f>IF(D11="","-",+C48+1)</f>
        <v>2046</v>
      </c>
      <c r="D49" s="164">
        <f>IF(F48+SUM(E$17:E48)=D$10,F48,D$10-SUM(E$17:E48))</f>
        <v>470757.60776958743</v>
      </c>
      <c r="E49" s="162">
        <f t="shared" si="4"/>
        <v>45729.148838219895</v>
      </c>
      <c r="F49" s="161">
        <f t="shared" si="5"/>
        <v>425028.45893136755</v>
      </c>
      <c r="G49" s="163">
        <f t="shared" si="6"/>
        <v>98352.561300739995</v>
      </c>
      <c r="H49" s="145">
        <f t="shared" si="7"/>
        <v>98352.561300739995</v>
      </c>
      <c r="I49" s="158">
        <f t="shared" si="3"/>
        <v>0</v>
      </c>
      <c r="J49" s="158"/>
      <c r="K49" s="316"/>
      <c r="L49" s="160">
        <f t="shared" si="8"/>
        <v>0</v>
      </c>
      <c r="M49" s="316"/>
      <c r="N49" s="160">
        <f t="shared" si="1"/>
        <v>0</v>
      </c>
      <c r="O49" s="160">
        <f t="shared" si="2"/>
        <v>0</v>
      </c>
      <c r="P49" s="4"/>
      <c r="R49" s="1"/>
      <c r="S49" s="1"/>
      <c r="T49" s="1"/>
      <c r="U49" s="1"/>
    </row>
    <row r="50" spans="2:21">
      <c r="B50" t="str">
        <f t="shared" si="0"/>
        <v/>
      </c>
      <c r="C50" s="155">
        <f>IF(D11="","-",+C49+1)</f>
        <v>2047</v>
      </c>
      <c r="D50" s="164">
        <f>IF(F49+SUM(E$17:E49)=D$10,F49,D$10-SUM(E$17:E49))</f>
        <v>425028.45893136755</v>
      </c>
      <c r="E50" s="162">
        <f t="shared" si="4"/>
        <v>45729.148838219895</v>
      </c>
      <c r="F50" s="161">
        <f t="shared" si="5"/>
        <v>379299.31009314768</v>
      </c>
      <c r="G50" s="163">
        <f t="shared" si="6"/>
        <v>92979.796641124092</v>
      </c>
      <c r="H50" s="145">
        <f t="shared" si="7"/>
        <v>92979.796641124092</v>
      </c>
      <c r="I50" s="158">
        <f t="shared" si="3"/>
        <v>0</v>
      </c>
      <c r="J50" s="158"/>
      <c r="K50" s="316"/>
      <c r="L50" s="160">
        <f t="shared" si="8"/>
        <v>0</v>
      </c>
      <c r="M50" s="316"/>
      <c r="N50" s="160">
        <f t="shared" si="1"/>
        <v>0</v>
      </c>
      <c r="O50" s="160">
        <f t="shared" si="2"/>
        <v>0</v>
      </c>
      <c r="P50" s="4"/>
      <c r="R50" s="1"/>
      <c r="S50" s="1"/>
      <c r="T50" s="1"/>
      <c r="U50" s="1"/>
    </row>
    <row r="51" spans="2:21">
      <c r="B51" t="str">
        <f t="shared" si="0"/>
        <v/>
      </c>
      <c r="C51" s="155">
        <f>IF(D11="","-",+C50+1)</f>
        <v>2048</v>
      </c>
      <c r="D51" s="164">
        <f>IF(F50+SUM(E$17:E50)=D$10,F50,D$10-SUM(E$17:E50))</f>
        <v>379299.31009314768</v>
      </c>
      <c r="E51" s="162">
        <f t="shared" si="4"/>
        <v>45729.148838219895</v>
      </c>
      <c r="F51" s="161">
        <f t="shared" si="5"/>
        <v>333570.16125492781</v>
      </c>
      <c r="G51" s="163">
        <f t="shared" si="6"/>
        <v>87607.03198150816</v>
      </c>
      <c r="H51" s="145">
        <f t="shared" si="7"/>
        <v>87607.03198150816</v>
      </c>
      <c r="I51" s="158">
        <f t="shared" si="3"/>
        <v>0</v>
      </c>
      <c r="J51" s="158"/>
      <c r="K51" s="316"/>
      <c r="L51" s="160">
        <f t="shared" si="8"/>
        <v>0</v>
      </c>
      <c r="M51" s="316"/>
      <c r="N51" s="160">
        <f t="shared" si="1"/>
        <v>0</v>
      </c>
      <c r="O51" s="160">
        <f t="shared" si="2"/>
        <v>0</v>
      </c>
      <c r="P51" s="4"/>
      <c r="R51" s="1"/>
      <c r="S51" s="1"/>
      <c r="T51" s="1"/>
      <c r="U51" s="1"/>
    </row>
    <row r="52" spans="2:21">
      <c r="B52" t="str">
        <f t="shared" si="0"/>
        <v/>
      </c>
      <c r="C52" s="155">
        <f>IF(D11="","-",+C51+1)</f>
        <v>2049</v>
      </c>
      <c r="D52" s="164">
        <f>IF(F51+SUM(E$17:E51)=D$10,F51,D$10-SUM(E$17:E51))</f>
        <v>333570.16125492781</v>
      </c>
      <c r="E52" s="162">
        <f t="shared" si="4"/>
        <v>45729.148838219895</v>
      </c>
      <c r="F52" s="161">
        <f t="shared" si="5"/>
        <v>287841.01241670793</v>
      </c>
      <c r="G52" s="163">
        <f t="shared" si="6"/>
        <v>82234.267321892257</v>
      </c>
      <c r="H52" s="145">
        <f t="shared" si="7"/>
        <v>82234.267321892257</v>
      </c>
      <c r="I52" s="158">
        <f t="shared" si="3"/>
        <v>0</v>
      </c>
      <c r="J52" s="158"/>
      <c r="K52" s="316"/>
      <c r="L52" s="160">
        <f t="shared" si="8"/>
        <v>0</v>
      </c>
      <c r="M52" s="316"/>
      <c r="N52" s="160">
        <f t="shared" si="1"/>
        <v>0</v>
      </c>
      <c r="O52" s="160">
        <f t="shared" si="2"/>
        <v>0</v>
      </c>
      <c r="P52" s="4"/>
      <c r="R52" s="1"/>
      <c r="S52" s="1"/>
      <c r="T52" s="1"/>
      <c r="U52" s="1"/>
    </row>
    <row r="53" spans="2:21">
      <c r="B53" t="str">
        <f t="shared" si="0"/>
        <v/>
      </c>
      <c r="C53" s="155">
        <f>IF(D11="","-",+C52+1)</f>
        <v>2050</v>
      </c>
      <c r="D53" s="164">
        <f>IF(F52+SUM(E$17:E52)=D$10,F52,D$10-SUM(E$17:E52))</f>
        <v>287841.01241670793</v>
      </c>
      <c r="E53" s="162">
        <f t="shared" si="4"/>
        <v>45729.148838219895</v>
      </c>
      <c r="F53" s="161">
        <f t="shared" si="5"/>
        <v>242111.86357848803</v>
      </c>
      <c r="G53" s="163">
        <f t="shared" si="6"/>
        <v>76861.502662276354</v>
      </c>
      <c r="H53" s="145">
        <f t="shared" si="7"/>
        <v>76861.502662276354</v>
      </c>
      <c r="I53" s="158">
        <f t="shared" si="3"/>
        <v>0</v>
      </c>
      <c r="J53" s="158"/>
      <c r="K53" s="316"/>
      <c r="L53" s="160">
        <f t="shared" si="8"/>
        <v>0</v>
      </c>
      <c r="M53" s="316"/>
      <c r="N53" s="160">
        <f t="shared" si="1"/>
        <v>0</v>
      </c>
      <c r="O53" s="160">
        <f t="shared" si="2"/>
        <v>0</v>
      </c>
      <c r="P53" s="4"/>
      <c r="R53" s="1"/>
      <c r="S53" s="1"/>
      <c r="T53" s="1"/>
      <c r="U53" s="1"/>
    </row>
    <row r="54" spans="2:21">
      <c r="B54" t="str">
        <f t="shared" si="0"/>
        <v/>
      </c>
      <c r="C54" s="155">
        <f>IF(D11="","-",+C53+1)</f>
        <v>2051</v>
      </c>
      <c r="D54" s="164">
        <f>IF(F53+SUM(E$17:E53)=D$10,F53,D$10-SUM(E$17:E53))</f>
        <v>242111.86357848803</v>
      </c>
      <c r="E54" s="162">
        <f t="shared" si="4"/>
        <v>45729.148838219895</v>
      </c>
      <c r="F54" s="161">
        <f t="shared" si="5"/>
        <v>196382.71474026813</v>
      </c>
      <c r="G54" s="163">
        <f t="shared" si="6"/>
        <v>71488.738002660437</v>
      </c>
      <c r="H54" s="145">
        <f t="shared" si="7"/>
        <v>71488.738002660437</v>
      </c>
      <c r="I54" s="158">
        <f t="shared" si="3"/>
        <v>0</v>
      </c>
      <c r="J54" s="158"/>
      <c r="K54" s="316"/>
      <c r="L54" s="160">
        <f t="shared" si="8"/>
        <v>0</v>
      </c>
      <c r="M54" s="316"/>
      <c r="N54" s="160">
        <f t="shared" si="1"/>
        <v>0</v>
      </c>
      <c r="O54" s="160">
        <f t="shared" si="2"/>
        <v>0</v>
      </c>
      <c r="P54" s="4"/>
      <c r="R54" s="1"/>
      <c r="S54" s="1"/>
      <c r="T54" s="1"/>
      <c r="U54" s="1"/>
    </row>
    <row r="55" spans="2:21">
      <c r="B55" t="str">
        <f t="shared" si="0"/>
        <v/>
      </c>
      <c r="C55" s="155">
        <f>IF(D11="","-",+C54+1)</f>
        <v>2052</v>
      </c>
      <c r="D55" s="164">
        <f>IF(F54+SUM(E$17:E54)=D$10,F54,D$10-SUM(E$17:E54))</f>
        <v>196382.71474026813</v>
      </c>
      <c r="E55" s="162">
        <f t="shared" si="4"/>
        <v>45729.148838219895</v>
      </c>
      <c r="F55" s="161">
        <f t="shared" si="5"/>
        <v>150653.56590204823</v>
      </c>
      <c r="G55" s="163">
        <f t="shared" si="6"/>
        <v>66115.973343044519</v>
      </c>
      <c r="H55" s="145">
        <f t="shared" si="7"/>
        <v>66115.973343044519</v>
      </c>
      <c r="I55" s="158">
        <f t="shared" si="3"/>
        <v>0</v>
      </c>
      <c r="J55" s="158"/>
      <c r="K55" s="316"/>
      <c r="L55" s="160">
        <f t="shared" si="8"/>
        <v>0</v>
      </c>
      <c r="M55" s="316"/>
      <c r="N55" s="160">
        <f t="shared" si="1"/>
        <v>0</v>
      </c>
      <c r="O55" s="160">
        <f t="shared" si="2"/>
        <v>0</v>
      </c>
      <c r="P55" s="4"/>
      <c r="R55" s="1"/>
      <c r="S55" s="1"/>
      <c r="T55" s="1"/>
      <c r="U55" s="1"/>
    </row>
    <row r="56" spans="2:21">
      <c r="B56" t="str">
        <f t="shared" si="0"/>
        <v/>
      </c>
      <c r="C56" s="155">
        <f>IF(D11="","-",+C55+1)</f>
        <v>2053</v>
      </c>
      <c r="D56" s="164">
        <f>IF(F55+SUM(E$17:E55)=D$10,F55,D$10-SUM(E$17:E55))</f>
        <v>150653.56590204823</v>
      </c>
      <c r="E56" s="162">
        <f t="shared" si="4"/>
        <v>45729.148838219895</v>
      </c>
      <c r="F56" s="161">
        <f t="shared" si="5"/>
        <v>104924.41706382832</v>
      </c>
      <c r="G56" s="163">
        <f t="shared" si="6"/>
        <v>60743.208683428602</v>
      </c>
      <c r="H56" s="145">
        <f t="shared" si="7"/>
        <v>60743.208683428602</v>
      </c>
      <c r="I56" s="158">
        <f t="shared" si="3"/>
        <v>0</v>
      </c>
      <c r="J56" s="158"/>
      <c r="K56" s="316"/>
      <c r="L56" s="160">
        <f t="shared" si="8"/>
        <v>0</v>
      </c>
      <c r="M56" s="316"/>
      <c r="N56" s="160">
        <f t="shared" si="1"/>
        <v>0</v>
      </c>
      <c r="O56" s="160">
        <f t="shared" si="2"/>
        <v>0</v>
      </c>
      <c r="P56" s="4"/>
      <c r="R56" s="1"/>
      <c r="S56" s="1"/>
      <c r="T56" s="1"/>
      <c r="U56" s="1"/>
    </row>
    <row r="57" spans="2:21">
      <c r="B57" t="str">
        <f t="shared" si="0"/>
        <v/>
      </c>
      <c r="C57" s="155">
        <f>IF(D11="","-",+C56+1)</f>
        <v>2054</v>
      </c>
      <c r="D57" s="164">
        <f>IF(F56+SUM(E$17:E56)=D$10,F56,D$10-SUM(E$17:E56))</f>
        <v>104924.41706382832</v>
      </c>
      <c r="E57" s="162">
        <f t="shared" si="4"/>
        <v>45729.148838219895</v>
      </c>
      <c r="F57" s="161">
        <f t="shared" si="5"/>
        <v>59195.26822560843</v>
      </c>
      <c r="G57" s="163">
        <f t="shared" si="6"/>
        <v>55370.444023812684</v>
      </c>
      <c r="H57" s="145">
        <f t="shared" si="7"/>
        <v>55370.444023812684</v>
      </c>
      <c r="I57" s="158">
        <f t="shared" si="3"/>
        <v>0</v>
      </c>
      <c r="J57" s="158"/>
      <c r="K57" s="316"/>
      <c r="L57" s="160">
        <f t="shared" si="8"/>
        <v>0</v>
      </c>
      <c r="M57" s="316"/>
      <c r="N57" s="160">
        <f t="shared" si="1"/>
        <v>0</v>
      </c>
      <c r="O57" s="160">
        <f t="shared" si="2"/>
        <v>0</v>
      </c>
      <c r="P57" s="4"/>
      <c r="R57" s="1"/>
      <c r="S57" s="1"/>
      <c r="T57" s="1"/>
      <c r="U57" s="1"/>
    </row>
    <row r="58" spans="2:21">
      <c r="B58" t="str">
        <f t="shared" si="0"/>
        <v/>
      </c>
      <c r="C58" s="155">
        <f>IF(D11="","-",+C57+1)</f>
        <v>2055</v>
      </c>
      <c r="D58" s="164">
        <f>IF(F57+SUM(E$17:E57)=D$10,F57,D$10-SUM(E$17:E57))</f>
        <v>59195.26822560843</v>
      </c>
      <c r="E58" s="162">
        <f t="shared" si="4"/>
        <v>45729.148838219895</v>
      </c>
      <c r="F58" s="161">
        <f t="shared" si="5"/>
        <v>13466.119387388535</v>
      </c>
      <c r="G58" s="163">
        <f t="shared" si="6"/>
        <v>49997.679364196774</v>
      </c>
      <c r="H58" s="145">
        <f t="shared" si="7"/>
        <v>49997.679364196774</v>
      </c>
      <c r="I58" s="158">
        <f t="shared" si="3"/>
        <v>0</v>
      </c>
      <c r="J58" s="158"/>
      <c r="K58" s="316"/>
      <c r="L58" s="160">
        <f t="shared" si="8"/>
        <v>0</v>
      </c>
      <c r="M58" s="316"/>
      <c r="N58" s="160">
        <f t="shared" si="1"/>
        <v>0</v>
      </c>
      <c r="O58" s="160">
        <f t="shared" si="2"/>
        <v>0</v>
      </c>
      <c r="P58" s="4"/>
      <c r="R58" s="1"/>
      <c r="S58" s="1"/>
      <c r="T58" s="1"/>
      <c r="U58" s="1"/>
    </row>
    <row r="59" spans="2:21">
      <c r="B59" t="str">
        <f t="shared" si="0"/>
        <v/>
      </c>
      <c r="C59" s="155">
        <f>IF(D11="","-",+C58+1)</f>
        <v>2056</v>
      </c>
      <c r="D59" s="164">
        <f>IF(F58+SUM(E$17:E58)=D$10,F58,D$10-SUM(E$17:E58))</f>
        <v>13466.119387388535</v>
      </c>
      <c r="E59" s="162">
        <f t="shared" si="4"/>
        <v>13466.119387388535</v>
      </c>
      <c r="F59" s="161">
        <f t="shared" si="5"/>
        <v>0</v>
      </c>
      <c r="G59" s="163">
        <f t="shared" si="6"/>
        <v>14257.193485472997</v>
      </c>
      <c r="H59" s="145">
        <f t="shared" si="7"/>
        <v>14257.193485472997</v>
      </c>
      <c r="I59" s="158">
        <f t="shared" si="3"/>
        <v>0</v>
      </c>
      <c r="J59" s="158"/>
      <c r="K59" s="316"/>
      <c r="L59" s="160">
        <f t="shared" si="8"/>
        <v>0</v>
      </c>
      <c r="M59" s="316"/>
      <c r="N59" s="160">
        <f t="shared" si="1"/>
        <v>0</v>
      </c>
      <c r="O59" s="160">
        <f t="shared" si="2"/>
        <v>0</v>
      </c>
      <c r="P59" s="4"/>
      <c r="R59" s="1"/>
      <c r="S59" s="1"/>
      <c r="T59" s="1"/>
      <c r="U59" s="1"/>
    </row>
    <row r="60" spans="2:21">
      <c r="B60" t="str">
        <f t="shared" si="0"/>
        <v/>
      </c>
      <c r="C60" s="155">
        <f>IF(D11="","-",+C59+1)</f>
        <v>2057</v>
      </c>
      <c r="D60" s="164">
        <f>IF(F59+SUM(E$17:E59)=D$10,F59,D$10-SUM(E$17:E59))</f>
        <v>0</v>
      </c>
      <c r="E60" s="162">
        <f t="shared" si="4"/>
        <v>0</v>
      </c>
      <c r="F60" s="161">
        <f t="shared" si="5"/>
        <v>0</v>
      </c>
      <c r="G60" s="163">
        <f t="shared" si="6"/>
        <v>0</v>
      </c>
      <c r="H60" s="145">
        <f t="shared" si="7"/>
        <v>0</v>
      </c>
      <c r="I60" s="158">
        <f t="shared" si="3"/>
        <v>0</v>
      </c>
      <c r="J60" s="158"/>
      <c r="K60" s="316"/>
      <c r="L60" s="160">
        <f t="shared" si="8"/>
        <v>0</v>
      </c>
      <c r="M60" s="316"/>
      <c r="N60" s="160">
        <f t="shared" si="1"/>
        <v>0</v>
      </c>
      <c r="O60" s="160">
        <f t="shared" si="2"/>
        <v>0</v>
      </c>
      <c r="P60" s="4"/>
      <c r="R60" s="1"/>
      <c r="S60" s="1"/>
      <c r="T60" s="1"/>
      <c r="U60" s="1"/>
    </row>
    <row r="61" spans="2:21">
      <c r="B61" t="str">
        <f t="shared" si="0"/>
        <v/>
      </c>
      <c r="C61" s="155">
        <f>IF(D11="","-",+C60+1)</f>
        <v>2058</v>
      </c>
      <c r="D61" s="164">
        <f>IF(F60+SUM(E$17:E60)=D$10,F60,D$10-SUM(E$17:E60))</f>
        <v>0</v>
      </c>
      <c r="E61" s="162">
        <f t="shared" si="4"/>
        <v>0</v>
      </c>
      <c r="F61" s="161">
        <f t="shared" si="5"/>
        <v>0</v>
      </c>
      <c r="G61" s="163">
        <f t="shared" si="6"/>
        <v>0</v>
      </c>
      <c r="H61" s="145">
        <f t="shared" si="7"/>
        <v>0</v>
      </c>
      <c r="I61" s="158">
        <f t="shared" si="3"/>
        <v>0</v>
      </c>
      <c r="J61" s="158"/>
      <c r="K61" s="316"/>
      <c r="L61" s="160">
        <f t="shared" si="8"/>
        <v>0</v>
      </c>
      <c r="M61" s="316"/>
      <c r="N61" s="160">
        <f t="shared" si="1"/>
        <v>0</v>
      </c>
      <c r="O61" s="160">
        <f t="shared" si="2"/>
        <v>0</v>
      </c>
      <c r="P61" s="4"/>
      <c r="R61" s="1"/>
      <c r="S61" s="1"/>
      <c r="T61" s="1"/>
      <c r="U61" s="1"/>
    </row>
    <row r="62" spans="2:21">
      <c r="B62" t="str">
        <f t="shared" si="0"/>
        <v/>
      </c>
      <c r="C62" s="155">
        <f>IF(D11="","-",+C61+1)</f>
        <v>2059</v>
      </c>
      <c r="D62" s="164">
        <f>IF(F61+SUM(E$17:E61)=D$10,F61,D$10-SUM(E$17:E61))</f>
        <v>0</v>
      </c>
      <c r="E62" s="162">
        <f t="shared" si="4"/>
        <v>0</v>
      </c>
      <c r="F62" s="161">
        <f t="shared" si="5"/>
        <v>0</v>
      </c>
      <c r="G62" s="163">
        <f t="shared" si="6"/>
        <v>0</v>
      </c>
      <c r="H62" s="145">
        <f t="shared" si="7"/>
        <v>0</v>
      </c>
      <c r="I62" s="158">
        <f t="shared" si="3"/>
        <v>0</v>
      </c>
      <c r="J62" s="158"/>
      <c r="K62" s="316"/>
      <c r="L62" s="160">
        <f t="shared" si="8"/>
        <v>0</v>
      </c>
      <c r="M62" s="316"/>
      <c r="N62" s="160">
        <f t="shared" si="1"/>
        <v>0</v>
      </c>
      <c r="O62" s="160">
        <f t="shared" si="2"/>
        <v>0</v>
      </c>
      <c r="P62" s="4"/>
      <c r="R62" s="1"/>
      <c r="S62" s="1"/>
      <c r="T62" s="1"/>
      <c r="U62" s="1"/>
    </row>
    <row r="63" spans="2:21">
      <c r="B63" t="str">
        <f t="shared" si="0"/>
        <v/>
      </c>
      <c r="C63" s="155">
        <f>IF(D11="","-",+C62+1)</f>
        <v>2060</v>
      </c>
      <c r="D63" s="164">
        <f>IF(F62+SUM(E$17:E62)=D$10,F62,D$10-SUM(E$17:E62))</f>
        <v>0</v>
      </c>
      <c r="E63" s="162">
        <f t="shared" si="4"/>
        <v>0</v>
      </c>
      <c r="F63" s="161">
        <f t="shared" si="5"/>
        <v>0</v>
      </c>
      <c r="G63" s="163">
        <f t="shared" si="6"/>
        <v>0</v>
      </c>
      <c r="H63" s="145">
        <f t="shared" si="7"/>
        <v>0</v>
      </c>
      <c r="I63" s="158">
        <f t="shared" si="3"/>
        <v>0</v>
      </c>
      <c r="J63" s="158"/>
      <c r="K63" s="316"/>
      <c r="L63" s="160">
        <f t="shared" si="8"/>
        <v>0</v>
      </c>
      <c r="M63" s="316"/>
      <c r="N63" s="160">
        <f t="shared" si="1"/>
        <v>0</v>
      </c>
      <c r="O63" s="160">
        <f t="shared" si="2"/>
        <v>0</v>
      </c>
      <c r="P63" s="4"/>
      <c r="R63" s="1"/>
      <c r="S63" s="1"/>
      <c r="T63" s="1"/>
      <c r="U63" s="1"/>
    </row>
    <row r="64" spans="2:21">
      <c r="B64" t="str">
        <f t="shared" si="0"/>
        <v/>
      </c>
      <c r="C64" s="155">
        <f>IF(D11="","-",+C63+1)</f>
        <v>2061</v>
      </c>
      <c r="D64" s="164">
        <f>IF(F63+SUM(E$17:E63)=D$10,F63,D$10-SUM(E$17:E63))</f>
        <v>0</v>
      </c>
      <c r="E64" s="162">
        <f t="shared" si="4"/>
        <v>0</v>
      </c>
      <c r="F64" s="161">
        <f t="shared" si="5"/>
        <v>0</v>
      </c>
      <c r="G64" s="163">
        <f t="shared" si="6"/>
        <v>0</v>
      </c>
      <c r="H64" s="145">
        <f t="shared" si="7"/>
        <v>0</v>
      </c>
      <c r="I64" s="158">
        <f t="shared" si="3"/>
        <v>0</v>
      </c>
      <c r="J64" s="158"/>
      <c r="K64" s="316"/>
      <c r="L64" s="160">
        <f t="shared" si="8"/>
        <v>0</v>
      </c>
      <c r="M64" s="316"/>
      <c r="N64" s="160">
        <f t="shared" si="1"/>
        <v>0</v>
      </c>
      <c r="O64" s="160">
        <f t="shared" si="2"/>
        <v>0</v>
      </c>
      <c r="P64" s="4"/>
      <c r="R64" s="1"/>
      <c r="S64" s="1"/>
      <c r="T64" s="1"/>
      <c r="U64" s="1"/>
    </row>
    <row r="65" spans="2:21">
      <c r="B65" t="str">
        <f t="shared" si="0"/>
        <v/>
      </c>
      <c r="C65" s="155">
        <f>IF(D11="","-",+C64+1)</f>
        <v>2062</v>
      </c>
      <c r="D65" s="164">
        <f>IF(F64+SUM(E$17:E64)=D$10,F64,D$10-SUM(E$17:E64))</f>
        <v>0</v>
      </c>
      <c r="E65" s="162">
        <f t="shared" si="4"/>
        <v>0</v>
      </c>
      <c r="F65" s="161">
        <f t="shared" si="5"/>
        <v>0</v>
      </c>
      <c r="G65" s="163">
        <f t="shared" si="6"/>
        <v>0</v>
      </c>
      <c r="H65" s="145">
        <f t="shared" si="7"/>
        <v>0</v>
      </c>
      <c r="I65" s="158">
        <f t="shared" si="3"/>
        <v>0</v>
      </c>
      <c r="J65" s="158"/>
      <c r="K65" s="316"/>
      <c r="L65" s="160">
        <f t="shared" si="8"/>
        <v>0</v>
      </c>
      <c r="M65" s="316"/>
      <c r="N65" s="160">
        <f t="shared" si="1"/>
        <v>0</v>
      </c>
      <c r="O65" s="160">
        <f t="shared" si="2"/>
        <v>0</v>
      </c>
      <c r="P65" s="4"/>
      <c r="R65" s="1"/>
      <c r="S65" s="1"/>
      <c r="T65" s="1"/>
      <c r="U65" s="1"/>
    </row>
    <row r="66" spans="2:21">
      <c r="B66" t="str">
        <f t="shared" si="0"/>
        <v/>
      </c>
      <c r="C66" s="155">
        <f>IF(D11="","-",+C65+1)</f>
        <v>2063</v>
      </c>
      <c r="D66" s="164">
        <f>IF(F65+SUM(E$17:E65)=D$10,F65,D$10-SUM(E$17:E65))</f>
        <v>0</v>
      </c>
      <c r="E66" s="162">
        <f t="shared" si="4"/>
        <v>0</v>
      </c>
      <c r="F66" s="161">
        <f t="shared" si="5"/>
        <v>0</v>
      </c>
      <c r="G66" s="163">
        <f t="shared" si="6"/>
        <v>0</v>
      </c>
      <c r="H66" s="145">
        <f t="shared" si="7"/>
        <v>0</v>
      </c>
      <c r="I66" s="158">
        <f t="shared" si="3"/>
        <v>0</v>
      </c>
      <c r="J66" s="158"/>
      <c r="K66" s="316"/>
      <c r="L66" s="160">
        <f t="shared" si="8"/>
        <v>0</v>
      </c>
      <c r="M66" s="316"/>
      <c r="N66" s="160">
        <f t="shared" si="1"/>
        <v>0</v>
      </c>
      <c r="O66" s="160">
        <f t="shared" si="2"/>
        <v>0</v>
      </c>
      <c r="P66" s="4"/>
      <c r="R66" s="1"/>
      <c r="S66" s="1"/>
      <c r="T66" s="1"/>
      <c r="U66" s="1"/>
    </row>
    <row r="67" spans="2:21">
      <c r="B67" t="str">
        <f t="shared" si="0"/>
        <v/>
      </c>
      <c r="C67" s="155">
        <f>IF(D11="","-",+C66+1)</f>
        <v>2064</v>
      </c>
      <c r="D67" s="164">
        <f>IF(F66+SUM(E$17:E66)=D$10,F66,D$10-SUM(E$17:E66))</f>
        <v>0</v>
      </c>
      <c r="E67" s="162">
        <f t="shared" si="4"/>
        <v>0</v>
      </c>
      <c r="F67" s="161">
        <f t="shared" si="5"/>
        <v>0</v>
      </c>
      <c r="G67" s="163">
        <f t="shared" si="6"/>
        <v>0</v>
      </c>
      <c r="H67" s="145">
        <f t="shared" si="7"/>
        <v>0</v>
      </c>
      <c r="I67" s="158">
        <f t="shared" si="3"/>
        <v>0</v>
      </c>
      <c r="J67" s="158"/>
      <c r="K67" s="316"/>
      <c r="L67" s="160">
        <f t="shared" si="8"/>
        <v>0</v>
      </c>
      <c r="M67" s="316"/>
      <c r="N67" s="160">
        <f t="shared" si="1"/>
        <v>0</v>
      </c>
      <c r="O67" s="160">
        <f t="shared" si="2"/>
        <v>0</v>
      </c>
      <c r="P67" s="4"/>
      <c r="R67" s="1"/>
      <c r="S67" s="1"/>
      <c r="T67" s="1"/>
      <c r="U67" s="1"/>
    </row>
    <row r="68" spans="2:21">
      <c r="B68" t="str">
        <f t="shared" si="0"/>
        <v/>
      </c>
      <c r="C68" s="155">
        <f>IF(D11="","-",+C67+1)</f>
        <v>2065</v>
      </c>
      <c r="D68" s="164">
        <f>IF(F67+SUM(E$17:E67)=D$10,F67,D$10-SUM(E$17:E67))</f>
        <v>0</v>
      </c>
      <c r="E68" s="162">
        <f t="shared" si="4"/>
        <v>0</v>
      </c>
      <c r="F68" s="161">
        <f t="shared" si="5"/>
        <v>0</v>
      </c>
      <c r="G68" s="163">
        <f t="shared" si="6"/>
        <v>0</v>
      </c>
      <c r="H68" s="145">
        <f t="shared" si="7"/>
        <v>0</v>
      </c>
      <c r="I68" s="158">
        <f t="shared" si="3"/>
        <v>0</v>
      </c>
      <c r="J68" s="158"/>
      <c r="K68" s="316"/>
      <c r="L68" s="160">
        <f t="shared" si="8"/>
        <v>0</v>
      </c>
      <c r="M68" s="316"/>
      <c r="N68" s="160">
        <f t="shared" si="1"/>
        <v>0</v>
      </c>
      <c r="O68" s="160">
        <f t="shared" si="2"/>
        <v>0</v>
      </c>
      <c r="P68" s="4"/>
      <c r="R68" s="1"/>
      <c r="S68" s="1"/>
      <c r="T68" s="1"/>
      <c r="U68" s="1"/>
    </row>
    <row r="69" spans="2:21">
      <c r="B69" t="str">
        <f t="shared" si="0"/>
        <v/>
      </c>
      <c r="C69" s="155">
        <f>IF(D11="","-",+C68+1)</f>
        <v>2066</v>
      </c>
      <c r="D69" s="164">
        <f>IF(F68+SUM(E$17:E68)=D$10,F68,D$10-SUM(E$17:E68))</f>
        <v>0</v>
      </c>
      <c r="E69" s="162">
        <f t="shared" si="4"/>
        <v>0</v>
      </c>
      <c r="F69" s="161">
        <f t="shared" si="5"/>
        <v>0</v>
      </c>
      <c r="G69" s="163">
        <f t="shared" si="6"/>
        <v>0</v>
      </c>
      <c r="H69" s="145">
        <f t="shared" si="7"/>
        <v>0</v>
      </c>
      <c r="I69" s="158">
        <f t="shared" si="3"/>
        <v>0</v>
      </c>
      <c r="J69" s="158"/>
      <c r="K69" s="316"/>
      <c r="L69" s="160">
        <f t="shared" si="8"/>
        <v>0</v>
      </c>
      <c r="M69" s="316"/>
      <c r="N69" s="160">
        <f t="shared" si="1"/>
        <v>0</v>
      </c>
      <c r="O69" s="160">
        <f t="shared" si="2"/>
        <v>0</v>
      </c>
      <c r="P69" s="4"/>
      <c r="R69" s="1"/>
      <c r="S69" s="1"/>
      <c r="T69" s="1"/>
      <c r="U69" s="1"/>
    </row>
    <row r="70" spans="2:21">
      <c r="B70" t="str">
        <f t="shared" si="0"/>
        <v/>
      </c>
      <c r="C70" s="155">
        <f>IF(D11="","-",+C69+1)</f>
        <v>2067</v>
      </c>
      <c r="D70" s="164">
        <f>IF(F69+SUM(E$17:E69)=D$10,F69,D$10-SUM(E$17:E69))</f>
        <v>0</v>
      </c>
      <c r="E70" s="162">
        <f t="shared" si="4"/>
        <v>0</v>
      </c>
      <c r="F70" s="161">
        <f t="shared" si="5"/>
        <v>0</v>
      </c>
      <c r="G70" s="163">
        <f t="shared" si="6"/>
        <v>0</v>
      </c>
      <c r="H70" s="145">
        <f t="shared" si="7"/>
        <v>0</v>
      </c>
      <c r="I70" s="158">
        <f t="shared" si="3"/>
        <v>0</v>
      </c>
      <c r="J70" s="158"/>
      <c r="K70" s="316"/>
      <c r="L70" s="160">
        <f t="shared" si="8"/>
        <v>0</v>
      </c>
      <c r="M70" s="316"/>
      <c r="N70" s="160">
        <f t="shared" si="1"/>
        <v>0</v>
      </c>
      <c r="O70" s="160">
        <f t="shared" si="2"/>
        <v>0</v>
      </c>
      <c r="P70" s="4"/>
      <c r="R70" s="1"/>
      <c r="S70" s="1"/>
      <c r="T70" s="1"/>
      <c r="U70" s="1"/>
    </row>
    <row r="71" spans="2:21">
      <c r="B71" t="str">
        <f t="shared" si="0"/>
        <v/>
      </c>
      <c r="C71" s="155">
        <f>IF(D11="","-",+C70+1)</f>
        <v>2068</v>
      </c>
      <c r="D71" s="164">
        <f>IF(F70+SUM(E$17:E70)=D$10,F70,D$10-SUM(E$17:E70))</f>
        <v>0</v>
      </c>
      <c r="E71" s="162">
        <f t="shared" si="4"/>
        <v>0</v>
      </c>
      <c r="F71" s="161">
        <f t="shared" si="5"/>
        <v>0</v>
      </c>
      <c r="G71" s="163">
        <f t="shared" si="6"/>
        <v>0</v>
      </c>
      <c r="H71" s="145">
        <f t="shared" si="7"/>
        <v>0</v>
      </c>
      <c r="I71" s="158">
        <f t="shared" si="3"/>
        <v>0</v>
      </c>
      <c r="J71" s="158"/>
      <c r="K71" s="316"/>
      <c r="L71" s="160">
        <f t="shared" si="8"/>
        <v>0</v>
      </c>
      <c r="M71" s="316"/>
      <c r="N71" s="160">
        <f t="shared" si="1"/>
        <v>0</v>
      </c>
      <c r="O71" s="160">
        <f t="shared" si="2"/>
        <v>0</v>
      </c>
      <c r="P71" s="4"/>
      <c r="R71" s="1"/>
      <c r="S71" s="1"/>
      <c r="T71" s="1"/>
      <c r="U71" s="1"/>
    </row>
    <row r="72" spans="2:21">
      <c r="B72" t="str">
        <f t="shared" si="0"/>
        <v/>
      </c>
      <c r="C72" s="155">
        <f>IF(D11="","-",+C71+1)</f>
        <v>2069</v>
      </c>
      <c r="D72" s="164">
        <f>IF(F71+SUM(E$17:E71)=D$10,F71,D$10-SUM(E$17:E71))</f>
        <v>0</v>
      </c>
      <c r="E72" s="162">
        <f t="shared" si="4"/>
        <v>0</v>
      </c>
      <c r="F72" s="161">
        <f t="shared" si="5"/>
        <v>0</v>
      </c>
      <c r="G72" s="163">
        <f t="shared" si="6"/>
        <v>0</v>
      </c>
      <c r="H72" s="145">
        <f t="shared" si="7"/>
        <v>0</v>
      </c>
      <c r="I72" s="158">
        <f t="shared" si="3"/>
        <v>0</v>
      </c>
      <c r="J72" s="158"/>
      <c r="K72" s="316"/>
      <c r="L72" s="160">
        <f t="shared" si="8"/>
        <v>0</v>
      </c>
      <c r="M72" s="316"/>
      <c r="N72" s="160">
        <f t="shared" si="1"/>
        <v>0</v>
      </c>
      <c r="O72" s="160">
        <f t="shared" si="2"/>
        <v>0</v>
      </c>
      <c r="P72" s="4"/>
      <c r="R72" s="1"/>
      <c r="S72" s="1"/>
      <c r="T72" s="1"/>
      <c r="U72" s="1"/>
    </row>
    <row r="73" spans="2:21" ht="13.5" thickBot="1">
      <c r="B73" t="str">
        <f t="shared" si="0"/>
        <v/>
      </c>
      <c r="C73" s="166">
        <f>IF(D11="","-",+C72+1)</f>
        <v>2070</v>
      </c>
      <c r="D73" s="349">
        <f>IF(F72+SUM(E$17:E72)=D$10,F72,D$10-SUM(E$17:E72))</f>
        <v>0</v>
      </c>
      <c r="E73" s="168">
        <f t="shared" si="4"/>
        <v>0</v>
      </c>
      <c r="F73" s="167">
        <f t="shared" si="5"/>
        <v>0</v>
      </c>
      <c r="G73" s="397">
        <f t="shared" si="6"/>
        <v>0</v>
      </c>
      <c r="H73" s="127">
        <f t="shared" si="7"/>
        <v>0</v>
      </c>
      <c r="I73" s="170">
        <f t="shared" si="3"/>
        <v>0</v>
      </c>
      <c r="J73" s="158"/>
      <c r="K73" s="317"/>
      <c r="L73" s="171">
        <f t="shared" si="8"/>
        <v>0</v>
      </c>
      <c r="M73" s="317"/>
      <c r="N73" s="171">
        <f t="shared" si="1"/>
        <v>0</v>
      </c>
      <c r="O73" s="171">
        <f t="shared" si="2"/>
        <v>0</v>
      </c>
      <c r="P73" s="4"/>
      <c r="R73" s="1"/>
      <c r="S73" s="1"/>
      <c r="T73" s="1"/>
      <c r="U73" s="1"/>
    </row>
    <row r="74" spans="2:21">
      <c r="C74" s="156" t="s">
        <v>75</v>
      </c>
      <c r="D74" s="112"/>
      <c r="E74" s="112">
        <f>SUM(E17:E73)</f>
        <v>1864625.01</v>
      </c>
      <c r="F74" s="112"/>
      <c r="G74" s="112">
        <f>SUM(G17:G73)</f>
        <v>6299682.1397008486</v>
      </c>
      <c r="H74" s="112">
        <f>SUM(H17:H73)</f>
        <v>6299682.1397008486</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8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248789.97176998571</v>
      </c>
      <c r="N88" s="198">
        <f>IF(J93&lt;D11,0,VLOOKUP(J93,C17:O73,11))</f>
        <v>248789.97176998571</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231317.7893017451</v>
      </c>
      <c r="N89" s="200">
        <f>IF(J93&lt;D11,0,VLOOKUP(J93,C100:P155,7))</f>
        <v>231317.7893017451</v>
      </c>
      <c r="O89" s="201">
        <f>+N89-M89</f>
        <v>0</v>
      </c>
      <c r="P89" s="1"/>
      <c r="Q89" s="1"/>
      <c r="R89" s="1"/>
      <c r="S89" s="1"/>
      <c r="T89" s="1"/>
      <c r="U89" s="1"/>
    </row>
    <row r="90" spans="1:21" ht="13.5" thickBot="1">
      <c r="C90" s="124" t="s">
        <v>82</v>
      </c>
      <c r="D90" s="243" t="str">
        <f>+D7</f>
        <v>Coweta 69 kV Capacitor</v>
      </c>
      <c r="E90" s="1"/>
      <c r="F90" s="1"/>
      <c r="G90" s="1"/>
      <c r="H90" s="1"/>
      <c r="I90" s="3"/>
      <c r="J90" s="3"/>
      <c r="K90" s="256"/>
      <c r="L90" s="257" t="s">
        <v>135</v>
      </c>
      <c r="M90" s="203">
        <f>+M89-M88</f>
        <v>-17472.182468240615</v>
      </c>
      <c r="N90" s="203">
        <f>+N89-N88</f>
        <v>-17472.182468240615</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TP2009089</v>
      </c>
      <c r="E92" s="206"/>
      <c r="F92" s="206"/>
      <c r="G92" s="206"/>
      <c r="H92" s="206"/>
      <c r="I92" s="206"/>
      <c r="J92" s="206"/>
      <c r="K92" s="207"/>
      <c r="P92" s="134"/>
      <c r="Q92" s="1"/>
      <c r="R92" s="1"/>
      <c r="S92" s="1"/>
      <c r="T92" s="1"/>
      <c r="U92" s="1"/>
    </row>
    <row r="93" spans="1:21">
      <c r="C93" s="139" t="s">
        <v>49</v>
      </c>
      <c r="D93" s="381">
        <f>IF(D11=I10,0,D10)</f>
        <v>1864625.01</v>
      </c>
      <c r="E93" s="23" t="s">
        <v>84</v>
      </c>
      <c r="H93" s="137"/>
      <c r="I93" s="137"/>
      <c r="J93" s="138">
        <f>+'OKT.WS.G.BPU.ATRR.True-up'!M16</f>
        <v>2018</v>
      </c>
      <c r="K93" s="133"/>
      <c r="L93" s="112" t="s">
        <v>85</v>
      </c>
      <c r="P93" s="4"/>
      <c r="Q93" s="1"/>
      <c r="R93" s="1"/>
      <c r="S93" s="1"/>
      <c r="T93" s="1"/>
      <c r="U93" s="1"/>
    </row>
    <row r="94" spans="1:21">
      <c r="C94" s="139" t="s">
        <v>52</v>
      </c>
      <c r="D94" s="218">
        <f>IF(D11=I10,"",D11)</f>
        <v>2014</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7">
        <f>IF(D11=I10,"",D12)</f>
        <v>6</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51795.139166666668</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C100" s="155">
        <f>IF(D94= "","-",D94)</f>
        <v>2014</v>
      </c>
      <c r="D100" s="392">
        <v>0</v>
      </c>
      <c r="E100" s="393">
        <v>16074.353534482758</v>
      </c>
      <c r="F100" s="394">
        <v>1848550.6564655174</v>
      </c>
      <c r="G100" s="395">
        <v>924275.32823275868</v>
      </c>
      <c r="H100" s="395">
        <v>115474.09051785123</v>
      </c>
      <c r="I100" s="395">
        <v>115474.09051785123</v>
      </c>
      <c r="J100" s="160">
        <v>0</v>
      </c>
      <c r="K100" s="160"/>
      <c r="L100" s="344">
        <f>H100</f>
        <v>115474.09051785123</v>
      </c>
      <c r="M100" s="160">
        <f>IF(L100&lt;&gt;0,+H100-L100,0)</f>
        <v>0</v>
      </c>
      <c r="N100" s="344">
        <f>I100</f>
        <v>115474.09051785123</v>
      </c>
      <c r="O100" s="160">
        <f>IF(N100&lt;&gt;0,+I100-N100,0)</f>
        <v>0</v>
      </c>
      <c r="P100" s="160">
        <f>+O100-M100</f>
        <v>0</v>
      </c>
      <c r="Q100" s="1"/>
      <c r="R100" s="1"/>
      <c r="S100" s="1"/>
      <c r="T100" s="1"/>
      <c r="U100" s="1"/>
    </row>
    <row r="101" spans="1:21">
      <c r="C101" s="155">
        <f>IF(D94="","-",+C100+1)</f>
        <v>2015</v>
      </c>
      <c r="D101" s="377">
        <v>1848550.6564655174</v>
      </c>
      <c r="E101" s="375">
        <v>38846.354375000003</v>
      </c>
      <c r="F101" s="377">
        <v>1809704.3020905172</v>
      </c>
      <c r="G101" s="375">
        <v>1829127.4792780173</v>
      </c>
      <c r="H101" s="376">
        <v>242482.07146648291</v>
      </c>
      <c r="I101" s="376">
        <v>242482.07146648291</v>
      </c>
      <c r="J101" s="376">
        <v>0</v>
      </c>
      <c r="K101" s="160"/>
      <c r="L101" s="344">
        <f>H101</f>
        <v>242482.07146648291</v>
      </c>
      <c r="M101" s="160">
        <f>IF(L101&lt;&gt;0,+H101-L101,0)</f>
        <v>0</v>
      </c>
      <c r="N101" s="344">
        <f>I101</f>
        <v>242482.07146648291</v>
      </c>
      <c r="O101" s="160">
        <f t="shared" ref="O101:O131" si="9">IF(N101&lt;&gt;0,+I101-N101,0)</f>
        <v>0</v>
      </c>
      <c r="P101" s="160">
        <f t="shared" ref="P101:P131" si="10">+O101-M101</f>
        <v>0</v>
      </c>
      <c r="Q101" s="1"/>
      <c r="R101" s="1"/>
      <c r="S101" s="1"/>
      <c r="T101" s="1"/>
      <c r="U101" s="1"/>
    </row>
    <row r="102" spans="1:21">
      <c r="C102" s="155">
        <f>IF(D94="","-",+C101+1)</f>
        <v>2016</v>
      </c>
      <c r="D102" s="377">
        <v>1809704.3020905172</v>
      </c>
      <c r="E102" s="375">
        <v>36561.274705882352</v>
      </c>
      <c r="F102" s="377">
        <v>1773143.0273846348</v>
      </c>
      <c r="G102" s="375">
        <v>1791423.6647375762</v>
      </c>
      <c r="H102" s="376">
        <v>230696.88883644732</v>
      </c>
      <c r="I102" s="376">
        <v>230696.88883644732</v>
      </c>
      <c r="J102" s="160">
        <f t="shared" ref="J102:J155" si="11">+I102-H102</f>
        <v>0</v>
      </c>
      <c r="K102" s="160"/>
      <c r="L102" s="344">
        <f>H102</f>
        <v>230696.88883644732</v>
      </c>
      <c r="M102" s="160">
        <f>IF(L102&lt;&gt;0,+H102-L102,0)</f>
        <v>0</v>
      </c>
      <c r="N102" s="344">
        <f>I102</f>
        <v>230696.88883644732</v>
      </c>
      <c r="O102" s="160">
        <f>IF(N102&lt;&gt;0,+I102-N102,0)</f>
        <v>0</v>
      </c>
      <c r="P102" s="160">
        <f>+O102-M102</f>
        <v>0</v>
      </c>
      <c r="Q102" s="1"/>
      <c r="R102" s="1"/>
      <c r="S102" s="1"/>
      <c r="T102" s="1"/>
      <c r="U102" s="1"/>
    </row>
    <row r="103" spans="1:21">
      <c r="C103" s="155">
        <f>IF(D94="","-",+C102+1)</f>
        <v>2017</v>
      </c>
      <c r="D103" s="377">
        <v>1773143.0273846348</v>
      </c>
      <c r="E103" s="375">
        <v>46615.625249999997</v>
      </c>
      <c r="F103" s="377">
        <v>1726527.4021346348</v>
      </c>
      <c r="G103" s="375">
        <v>1749835.2147596348</v>
      </c>
      <c r="H103" s="376">
        <v>251934.05240160052</v>
      </c>
      <c r="I103" s="376">
        <v>251934.05240160052</v>
      </c>
      <c r="J103" s="160">
        <v>0</v>
      </c>
      <c r="K103" s="160"/>
      <c r="L103" s="344">
        <f>H103</f>
        <v>251934.05240160052</v>
      </c>
      <c r="M103" s="160">
        <f>IF(L103&lt;&gt;0,+H103-L103,0)</f>
        <v>0</v>
      </c>
      <c r="N103" s="344">
        <f>I103</f>
        <v>251934.05240160052</v>
      </c>
      <c r="O103" s="160">
        <f>IF(N103&lt;&gt;0,+I103-N103,0)</f>
        <v>0</v>
      </c>
      <c r="P103" s="160">
        <f>+O103-M103</f>
        <v>0</v>
      </c>
      <c r="Q103" s="1"/>
      <c r="R103" s="1"/>
      <c r="S103" s="1"/>
      <c r="T103" s="1"/>
      <c r="U103" s="1"/>
    </row>
    <row r="104" spans="1:21">
      <c r="C104" s="155">
        <f>IF(D94="","-",+C103+1)</f>
        <v>2018</v>
      </c>
      <c r="D104" s="156">
        <f>IF(F103+SUM(E$100:E103)=D$93,F103,D$93-SUM(E$100:E103))</f>
        <v>1726527.4021346348</v>
      </c>
      <c r="E104" s="162">
        <f t="shared" ref="E104:E155" si="12">IF(+$J$97&lt;F103,$J$97,D104)</f>
        <v>51795.139166666668</v>
      </c>
      <c r="F104" s="161">
        <f t="shared" ref="F104:F155" si="13">+D104-E104</f>
        <v>1674732.2629679681</v>
      </c>
      <c r="G104" s="161">
        <f t="shared" ref="G104:G155" si="14">+(F104+D104)/2</f>
        <v>1700629.8325513015</v>
      </c>
      <c r="H104" s="165">
        <f t="shared" ref="H104:H155" si="15">+J$95*G104+E104</f>
        <v>231317.7893017451</v>
      </c>
      <c r="I104" s="299">
        <f t="shared" ref="I104:I155" si="16">+J$96*G104+E104</f>
        <v>231317.7893017451</v>
      </c>
      <c r="J104" s="160">
        <f t="shared" si="11"/>
        <v>0</v>
      </c>
      <c r="K104" s="160"/>
      <c r="L104" s="316"/>
      <c r="M104" s="160">
        <f t="shared" ref="M104:M131" si="17">IF(L104&lt;&gt;0,+H104-L104,0)</f>
        <v>0</v>
      </c>
      <c r="N104" s="316"/>
      <c r="O104" s="160">
        <f t="shared" si="9"/>
        <v>0</v>
      </c>
      <c r="P104" s="160">
        <f t="shared" si="10"/>
        <v>0</v>
      </c>
      <c r="Q104" s="1"/>
      <c r="R104" s="1"/>
      <c r="S104" s="1"/>
      <c r="T104" s="1"/>
      <c r="U104" s="1"/>
    </row>
    <row r="105" spans="1:21">
      <c r="C105" s="155">
        <f>IF(D94="","-",+C104+1)</f>
        <v>2019</v>
      </c>
      <c r="D105" s="156">
        <f>IF(F104+SUM(E$100:E104)=D$93,F104,D$93-SUM(E$100:E104))</f>
        <v>1674732.2629679681</v>
      </c>
      <c r="E105" s="162">
        <f t="shared" si="12"/>
        <v>51795.139166666668</v>
      </c>
      <c r="F105" s="161">
        <f t="shared" si="13"/>
        <v>1622937.1238013015</v>
      </c>
      <c r="G105" s="161">
        <f t="shared" si="14"/>
        <v>1648834.6933846348</v>
      </c>
      <c r="H105" s="165">
        <f t="shared" si="15"/>
        <v>225850.16755988394</v>
      </c>
      <c r="I105" s="299">
        <f t="shared" si="16"/>
        <v>225850.16755988394</v>
      </c>
      <c r="J105" s="160">
        <f t="shared" si="11"/>
        <v>0</v>
      </c>
      <c r="K105" s="160"/>
      <c r="L105" s="316"/>
      <c r="M105" s="160">
        <f t="shared" si="17"/>
        <v>0</v>
      </c>
      <c r="N105" s="316"/>
      <c r="O105" s="160">
        <f t="shared" si="9"/>
        <v>0</v>
      </c>
      <c r="P105" s="160">
        <f t="shared" si="10"/>
        <v>0</v>
      </c>
      <c r="Q105" s="1"/>
      <c r="R105" s="1"/>
      <c r="S105" s="1"/>
      <c r="T105" s="1"/>
      <c r="U105" s="1"/>
    </row>
    <row r="106" spans="1:21">
      <c r="C106" s="155">
        <f>IF(D94="","-",+C105+1)</f>
        <v>2020</v>
      </c>
      <c r="D106" s="156">
        <f>IF(F105+SUM(E$100:E105)=D$93,F105,D$93-SUM(E$100:E105))</f>
        <v>1622937.1238013015</v>
      </c>
      <c r="E106" s="162">
        <f t="shared" si="12"/>
        <v>51795.139166666668</v>
      </c>
      <c r="F106" s="161">
        <f t="shared" si="13"/>
        <v>1571141.9846346348</v>
      </c>
      <c r="G106" s="161">
        <f t="shared" si="14"/>
        <v>1597039.5542179681</v>
      </c>
      <c r="H106" s="165">
        <f t="shared" si="15"/>
        <v>220382.54581802277</v>
      </c>
      <c r="I106" s="299">
        <f t="shared" si="16"/>
        <v>220382.54581802277</v>
      </c>
      <c r="J106" s="160">
        <f t="shared" si="11"/>
        <v>0</v>
      </c>
      <c r="K106" s="160"/>
      <c r="L106" s="316"/>
      <c r="M106" s="160">
        <f t="shared" si="17"/>
        <v>0</v>
      </c>
      <c r="N106" s="316"/>
      <c r="O106" s="160">
        <f t="shared" si="9"/>
        <v>0</v>
      </c>
      <c r="P106" s="160">
        <f t="shared" si="10"/>
        <v>0</v>
      </c>
      <c r="Q106" s="1"/>
      <c r="R106" s="1"/>
      <c r="S106" s="1"/>
      <c r="T106" s="1"/>
      <c r="U106" s="1"/>
    </row>
    <row r="107" spans="1:21">
      <c r="C107" s="155">
        <f>IF(D94="","-",+C106+1)</f>
        <v>2021</v>
      </c>
      <c r="D107" s="156">
        <f>IF(F106+SUM(E$100:E106)=D$93,F106,D$93-SUM(E$100:E106))</f>
        <v>1571141.9846346348</v>
      </c>
      <c r="E107" s="162">
        <f t="shared" si="12"/>
        <v>51795.139166666668</v>
      </c>
      <c r="F107" s="161">
        <f t="shared" si="13"/>
        <v>1519346.8454679681</v>
      </c>
      <c r="G107" s="161">
        <f t="shared" si="14"/>
        <v>1545244.4150513015</v>
      </c>
      <c r="H107" s="165">
        <f t="shared" si="15"/>
        <v>214914.92407616164</v>
      </c>
      <c r="I107" s="299">
        <f t="shared" si="16"/>
        <v>214914.92407616164</v>
      </c>
      <c r="J107" s="160">
        <f t="shared" si="11"/>
        <v>0</v>
      </c>
      <c r="K107" s="160"/>
      <c r="L107" s="316"/>
      <c r="M107" s="160">
        <f t="shared" si="17"/>
        <v>0</v>
      </c>
      <c r="N107" s="316"/>
      <c r="O107" s="160">
        <f t="shared" si="9"/>
        <v>0</v>
      </c>
      <c r="P107" s="160">
        <f t="shared" si="10"/>
        <v>0</v>
      </c>
      <c r="Q107" s="1"/>
      <c r="R107" s="1"/>
      <c r="S107" s="1"/>
      <c r="T107" s="1"/>
      <c r="U107" s="1"/>
    </row>
    <row r="108" spans="1:21">
      <c r="C108" s="155">
        <f>IF(D94="","-",+C107+1)</f>
        <v>2022</v>
      </c>
      <c r="D108" s="156">
        <f>IF(F107+SUM(E$100:E107)=D$93,F107,D$93-SUM(E$100:E107))</f>
        <v>1519346.8454679681</v>
      </c>
      <c r="E108" s="162">
        <f t="shared" si="12"/>
        <v>51795.139166666668</v>
      </c>
      <c r="F108" s="161">
        <f t="shared" si="13"/>
        <v>1467551.7063013015</v>
      </c>
      <c r="G108" s="161">
        <f t="shared" si="14"/>
        <v>1493449.2758846348</v>
      </c>
      <c r="H108" s="165">
        <f t="shared" si="15"/>
        <v>209447.30233430048</v>
      </c>
      <c r="I108" s="299">
        <f t="shared" si="16"/>
        <v>209447.30233430048</v>
      </c>
      <c r="J108" s="160">
        <f t="shared" si="11"/>
        <v>0</v>
      </c>
      <c r="K108" s="160"/>
      <c r="L108" s="316"/>
      <c r="M108" s="160">
        <f t="shared" si="17"/>
        <v>0</v>
      </c>
      <c r="N108" s="316"/>
      <c r="O108" s="160">
        <f t="shared" si="9"/>
        <v>0</v>
      </c>
      <c r="P108" s="160">
        <f t="shared" si="10"/>
        <v>0</v>
      </c>
      <c r="Q108" s="1"/>
      <c r="R108" s="1"/>
      <c r="S108" s="1"/>
      <c r="T108" s="1"/>
      <c r="U108" s="1"/>
    </row>
    <row r="109" spans="1:21">
      <c r="C109" s="155">
        <f>IF(D94="","-",+C108+1)</f>
        <v>2023</v>
      </c>
      <c r="D109" s="156">
        <f>IF(F108+SUM(E$100:E108)=D$93,F108,D$93-SUM(E$100:E108))</f>
        <v>1467551.7063013015</v>
      </c>
      <c r="E109" s="162">
        <f t="shared" si="12"/>
        <v>51795.139166666668</v>
      </c>
      <c r="F109" s="161">
        <f t="shared" si="13"/>
        <v>1415756.5671346348</v>
      </c>
      <c r="G109" s="161">
        <f t="shared" si="14"/>
        <v>1441654.1367179682</v>
      </c>
      <c r="H109" s="165">
        <f t="shared" si="15"/>
        <v>203979.68059243931</v>
      </c>
      <c r="I109" s="299">
        <f t="shared" si="16"/>
        <v>203979.68059243931</v>
      </c>
      <c r="J109" s="160">
        <f t="shared" si="11"/>
        <v>0</v>
      </c>
      <c r="K109" s="160"/>
      <c r="L109" s="316"/>
      <c r="M109" s="160">
        <f t="shared" si="17"/>
        <v>0</v>
      </c>
      <c r="N109" s="316"/>
      <c r="O109" s="160">
        <f t="shared" si="9"/>
        <v>0</v>
      </c>
      <c r="P109" s="160">
        <f t="shared" si="10"/>
        <v>0</v>
      </c>
      <c r="Q109" s="1"/>
      <c r="R109" s="1"/>
      <c r="S109" s="1"/>
      <c r="T109" s="1"/>
      <c r="U109" s="1"/>
    </row>
    <row r="110" spans="1:21">
      <c r="C110" s="155">
        <f>IF(D94="","-",+C109+1)</f>
        <v>2024</v>
      </c>
      <c r="D110" s="156">
        <f>IF(F109+SUM(E$100:E109)=D$93,F109,D$93-SUM(E$100:E109))</f>
        <v>1415756.5671346348</v>
      </c>
      <c r="E110" s="162">
        <f t="shared" si="12"/>
        <v>51795.139166666668</v>
      </c>
      <c r="F110" s="161">
        <f t="shared" si="13"/>
        <v>1363961.4279679682</v>
      </c>
      <c r="G110" s="161">
        <f t="shared" si="14"/>
        <v>1389858.9975513015</v>
      </c>
      <c r="H110" s="165">
        <f t="shared" si="15"/>
        <v>198512.05885057815</v>
      </c>
      <c r="I110" s="299">
        <f t="shared" si="16"/>
        <v>198512.05885057815</v>
      </c>
      <c r="J110" s="160">
        <f t="shared" si="11"/>
        <v>0</v>
      </c>
      <c r="K110" s="160"/>
      <c r="L110" s="316"/>
      <c r="M110" s="160">
        <f t="shared" si="17"/>
        <v>0</v>
      </c>
      <c r="N110" s="316"/>
      <c r="O110" s="160">
        <f t="shared" si="9"/>
        <v>0</v>
      </c>
      <c r="P110" s="160">
        <f t="shared" si="10"/>
        <v>0</v>
      </c>
      <c r="Q110" s="1"/>
      <c r="R110" s="1"/>
      <c r="S110" s="1"/>
      <c r="T110" s="1"/>
      <c r="U110" s="1"/>
    </row>
    <row r="111" spans="1:21">
      <c r="C111" s="155">
        <f>IF(D94="","-",+C110+1)</f>
        <v>2025</v>
      </c>
      <c r="D111" s="156">
        <f>IF(F110+SUM(E$100:E110)=D$93,F110,D$93-SUM(E$100:E110))</f>
        <v>1363961.4279679682</v>
      </c>
      <c r="E111" s="162">
        <f t="shared" si="12"/>
        <v>51795.139166666668</v>
      </c>
      <c r="F111" s="161">
        <f t="shared" si="13"/>
        <v>1312166.2888013015</v>
      </c>
      <c r="G111" s="161">
        <f t="shared" si="14"/>
        <v>1338063.8583846348</v>
      </c>
      <c r="H111" s="165">
        <f t="shared" si="15"/>
        <v>193044.43710871699</v>
      </c>
      <c r="I111" s="299">
        <f t="shared" si="16"/>
        <v>193044.43710871699</v>
      </c>
      <c r="J111" s="160">
        <f t="shared" si="11"/>
        <v>0</v>
      </c>
      <c r="K111" s="160"/>
      <c r="L111" s="316"/>
      <c r="M111" s="160">
        <f t="shared" si="17"/>
        <v>0</v>
      </c>
      <c r="N111" s="316"/>
      <c r="O111" s="160">
        <f t="shared" si="9"/>
        <v>0</v>
      </c>
      <c r="P111" s="160">
        <f t="shared" si="10"/>
        <v>0</v>
      </c>
      <c r="Q111" s="1"/>
      <c r="R111" s="1"/>
      <c r="S111" s="1"/>
      <c r="T111" s="1"/>
      <c r="U111" s="1"/>
    </row>
    <row r="112" spans="1:21">
      <c r="C112" s="155">
        <f>IF(D94="","-",+C111+1)</f>
        <v>2026</v>
      </c>
      <c r="D112" s="156">
        <f>IF(F111+SUM(E$100:E111)=D$93,F111,D$93-SUM(E$100:E111))</f>
        <v>1312166.2888013015</v>
      </c>
      <c r="E112" s="162">
        <f t="shared" si="12"/>
        <v>51795.139166666668</v>
      </c>
      <c r="F112" s="161">
        <f t="shared" si="13"/>
        <v>1260371.1496346348</v>
      </c>
      <c r="G112" s="161">
        <f t="shared" si="14"/>
        <v>1286268.7192179682</v>
      </c>
      <c r="H112" s="165">
        <f t="shared" si="15"/>
        <v>187576.81536685582</v>
      </c>
      <c r="I112" s="299">
        <f t="shared" si="16"/>
        <v>187576.81536685582</v>
      </c>
      <c r="J112" s="160">
        <f t="shared" si="11"/>
        <v>0</v>
      </c>
      <c r="K112" s="160"/>
      <c r="L112" s="316"/>
      <c r="M112" s="160">
        <f t="shared" si="17"/>
        <v>0</v>
      </c>
      <c r="N112" s="316"/>
      <c r="O112" s="160">
        <f t="shared" si="9"/>
        <v>0</v>
      </c>
      <c r="P112" s="160">
        <f t="shared" si="10"/>
        <v>0</v>
      </c>
      <c r="Q112" s="1"/>
      <c r="R112" s="1"/>
      <c r="S112" s="1"/>
      <c r="T112" s="1"/>
      <c r="U112" s="1"/>
    </row>
    <row r="113" spans="3:21">
      <c r="C113" s="155">
        <f>IF(D94="","-",+C112+1)</f>
        <v>2027</v>
      </c>
      <c r="D113" s="156">
        <f>IF(F112+SUM(E$100:E112)=D$93,F112,D$93-SUM(E$100:E112))</f>
        <v>1260371.1496346348</v>
      </c>
      <c r="E113" s="162">
        <f t="shared" si="12"/>
        <v>51795.139166666668</v>
      </c>
      <c r="F113" s="161">
        <f t="shared" si="13"/>
        <v>1208576.0104679682</v>
      </c>
      <c r="G113" s="161">
        <f t="shared" si="14"/>
        <v>1234473.5800513015</v>
      </c>
      <c r="H113" s="165">
        <f t="shared" si="15"/>
        <v>182109.19362499469</v>
      </c>
      <c r="I113" s="299">
        <f t="shared" si="16"/>
        <v>182109.19362499469</v>
      </c>
      <c r="J113" s="160">
        <f t="shared" si="11"/>
        <v>0</v>
      </c>
      <c r="K113" s="160"/>
      <c r="L113" s="316"/>
      <c r="M113" s="160">
        <f t="shared" si="17"/>
        <v>0</v>
      </c>
      <c r="N113" s="316"/>
      <c r="O113" s="160">
        <f t="shared" si="9"/>
        <v>0</v>
      </c>
      <c r="P113" s="160">
        <f t="shared" si="10"/>
        <v>0</v>
      </c>
      <c r="Q113" s="1"/>
      <c r="R113" s="1"/>
      <c r="S113" s="1"/>
      <c r="T113" s="1"/>
      <c r="U113" s="1"/>
    </row>
    <row r="114" spans="3:21">
      <c r="C114" s="155">
        <f>IF(D94="","-",+C113+1)</f>
        <v>2028</v>
      </c>
      <c r="D114" s="156">
        <f>IF(F113+SUM(E$100:E113)=D$93,F113,D$93-SUM(E$100:E113))</f>
        <v>1208576.0104679682</v>
      </c>
      <c r="E114" s="162">
        <f t="shared" si="12"/>
        <v>51795.139166666668</v>
      </c>
      <c r="F114" s="161">
        <f t="shared" si="13"/>
        <v>1156780.8713013015</v>
      </c>
      <c r="G114" s="161">
        <f t="shared" si="14"/>
        <v>1182678.4408846349</v>
      </c>
      <c r="H114" s="165">
        <f t="shared" si="15"/>
        <v>176641.57188313353</v>
      </c>
      <c r="I114" s="299">
        <f t="shared" si="16"/>
        <v>176641.57188313353</v>
      </c>
      <c r="J114" s="160">
        <f t="shared" si="11"/>
        <v>0</v>
      </c>
      <c r="K114" s="160"/>
      <c r="L114" s="316"/>
      <c r="M114" s="160">
        <f t="shared" si="17"/>
        <v>0</v>
      </c>
      <c r="N114" s="316"/>
      <c r="O114" s="160">
        <f t="shared" si="9"/>
        <v>0</v>
      </c>
      <c r="P114" s="160">
        <f t="shared" si="10"/>
        <v>0</v>
      </c>
      <c r="Q114" s="1"/>
      <c r="R114" s="1"/>
      <c r="S114" s="1"/>
      <c r="T114" s="1"/>
      <c r="U114" s="1"/>
    </row>
    <row r="115" spans="3:21">
      <c r="C115" s="155">
        <f>IF(D94="","-",+C114+1)</f>
        <v>2029</v>
      </c>
      <c r="D115" s="156">
        <f>IF(F114+SUM(E$100:E114)=D$93,F114,D$93-SUM(E$100:E114))</f>
        <v>1156780.8713013015</v>
      </c>
      <c r="E115" s="162">
        <f t="shared" si="12"/>
        <v>51795.139166666668</v>
      </c>
      <c r="F115" s="161">
        <f t="shared" si="13"/>
        <v>1104985.7321346349</v>
      </c>
      <c r="G115" s="161">
        <f t="shared" si="14"/>
        <v>1130883.3017179682</v>
      </c>
      <c r="H115" s="165">
        <f t="shared" si="15"/>
        <v>171173.95014127236</v>
      </c>
      <c r="I115" s="299">
        <f t="shared" si="16"/>
        <v>171173.95014127236</v>
      </c>
      <c r="J115" s="160">
        <f t="shared" si="11"/>
        <v>0</v>
      </c>
      <c r="K115" s="160"/>
      <c r="L115" s="316"/>
      <c r="M115" s="160">
        <f t="shared" si="17"/>
        <v>0</v>
      </c>
      <c r="N115" s="316"/>
      <c r="O115" s="160">
        <f t="shared" si="9"/>
        <v>0</v>
      </c>
      <c r="P115" s="160">
        <f t="shared" si="10"/>
        <v>0</v>
      </c>
      <c r="Q115" s="1"/>
      <c r="R115" s="1"/>
      <c r="S115" s="1"/>
      <c r="T115" s="1"/>
      <c r="U115" s="1"/>
    </row>
    <row r="116" spans="3:21">
      <c r="C116" s="155">
        <f>IF(D94="","-",+C115+1)</f>
        <v>2030</v>
      </c>
      <c r="D116" s="156">
        <f>IF(F115+SUM(E$100:E115)=D$93,F115,D$93-SUM(E$100:E115))</f>
        <v>1104985.7321346349</v>
      </c>
      <c r="E116" s="162">
        <f t="shared" si="12"/>
        <v>51795.139166666668</v>
      </c>
      <c r="F116" s="161">
        <f t="shared" si="13"/>
        <v>1053190.5929679682</v>
      </c>
      <c r="G116" s="161">
        <f t="shared" si="14"/>
        <v>1079088.1625513015</v>
      </c>
      <c r="H116" s="165">
        <f t="shared" si="15"/>
        <v>165706.3283994112</v>
      </c>
      <c r="I116" s="299">
        <f t="shared" si="16"/>
        <v>165706.3283994112</v>
      </c>
      <c r="J116" s="160">
        <f t="shared" si="11"/>
        <v>0</v>
      </c>
      <c r="K116" s="160"/>
      <c r="L116" s="316"/>
      <c r="M116" s="160">
        <f t="shared" si="17"/>
        <v>0</v>
      </c>
      <c r="N116" s="316"/>
      <c r="O116" s="160">
        <f t="shared" si="9"/>
        <v>0</v>
      </c>
      <c r="P116" s="160">
        <f t="shared" si="10"/>
        <v>0</v>
      </c>
      <c r="Q116" s="1"/>
      <c r="R116" s="1"/>
      <c r="S116" s="1"/>
      <c r="T116" s="1"/>
      <c r="U116" s="1"/>
    </row>
    <row r="117" spans="3:21">
      <c r="C117" s="155">
        <f>IF(D94="","-",+C116+1)</f>
        <v>2031</v>
      </c>
      <c r="D117" s="156">
        <f>IF(F116+SUM(E$100:E116)=D$93,F116,D$93-SUM(E$100:E116))</f>
        <v>1053190.5929679682</v>
      </c>
      <c r="E117" s="162">
        <f t="shared" si="12"/>
        <v>51795.139166666668</v>
      </c>
      <c r="F117" s="161">
        <f t="shared" si="13"/>
        <v>1001395.4538013015</v>
      </c>
      <c r="G117" s="161">
        <f t="shared" si="14"/>
        <v>1027293.0233846349</v>
      </c>
      <c r="H117" s="165">
        <f t="shared" si="15"/>
        <v>160238.70665755004</v>
      </c>
      <c r="I117" s="299">
        <f t="shared" si="16"/>
        <v>160238.70665755004</v>
      </c>
      <c r="J117" s="160">
        <f t="shared" si="11"/>
        <v>0</v>
      </c>
      <c r="K117" s="160"/>
      <c r="L117" s="316"/>
      <c r="M117" s="160">
        <f t="shared" si="17"/>
        <v>0</v>
      </c>
      <c r="N117" s="316"/>
      <c r="O117" s="160">
        <f t="shared" si="9"/>
        <v>0</v>
      </c>
      <c r="P117" s="160">
        <f t="shared" si="10"/>
        <v>0</v>
      </c>
      <c r="Q117" s="1"/>
      <c r="R117" s="1"/>
      <c r="S117" s="1"/>
      <c r="T117" s="1"/>
      <c r="U117" s="1"/>
    </row>
    <row r="118" spans="3:21">
      <c r="C118" s="155">
        <f>IF(D94="","-",+C117+1)</f>
        <v>2032</v>
      </c>
      <c r="D118" s="156">
        <f>IF(F117+SUM(E$100:E117)=D$93,F117,D$93-SUM(E$100:E117))</f>
        <v>1001395.4538013015</v>
      </c>
      <c r="E118" s="162">
        <f t="shared" si="12"/>
        <v>51795.139166666668</v>
      </c>
      <c r="F118" s="161">
        <f t="shared" si="13"/>
        <v>949600.31463463488</v>
      </c>
      <c r="G118" s="161">
        <f t="shared" si="14"/>
        <v>975497.88421796821</v>
      </c>
      <c r="H118" s="165">
        <f t="shared" si="15"/>
        <v>154771.0849156889</v>
      </c>
      <c r="I118" s="299">
        <f t="shared" si="16"/>
        <v>154771.0849156889</v>
      </c>
      <c r="J118" s="160">
        <f t="shared" si="11"/>
        <v>0</v>
      </c>
      <c r="K118" s="160"/>
      <c r="L118" s="316"/>
      <c r="M118" s="160">
        <f t="shared" si="17"/>
        <v>0</v>
      </c>
      <c r="N118" s="316"/>
      <c r="O118" s="160">
        <f t="shared" si="9"/>
        <v>0</v>
      </c>
      <c r="P118" s="160">
        <f t="shared" si="10"/>
        <v>0</v>
      </c>
      <c r="Q118" s="1"/>
      <c r="R118" s="1"/>
      <c r="S118" s="1"/>
      <c r="T118" s="1"/>
      <c r="U118" s="1"/>
    </row>
    <row r="119" spans="3:21">
      <c r="C119" s="155">
        <f>IF(D94="","-",+C118+1)</f>
        <v>2033</v>
      </c>
      <c r="D119" s="156">
        <f>IF(F118+SUM(E$100:E118)=D$93,F118,D$93-SUM(E$100:E118))</f>
        <v>949600.31463463488</v>
      </c>
      <c r="E119" s="162">
        <f t="shared" si="12"/>
        <v>51795.139166666668</v>
      </c>
      <c r="F119" s="161">
        <f t="shared" si="13"/>
        <v>897805.17546796822</v>
      </c>
      <c r="G119" s="161">
        <f t="shared" si="14"/>
        <v>923702.74505130155</v>
      </c>
      <c r="H119" s="165">
        <f t="shared" si="15"/>
        <v>149303.46317382774</v>
      </c>
      <c r="I119" s="299">
        <f t="shared" si="16"/>
        <v>149303.46317382774</v>
      </c>
      <c r="J119" s="160">
        <f t="shared" si="11"/>
        <v>0</v>
      </c>
      <c r="K119" s="160"/>
      <c r="L119" s="316"/>
      <c r="M119" s="160">
        <f t="shared" si="17"/>
        <v>0</v>
      </c>
      <c r="N119" s="316"/>
      <c r="O119" s="160">
        <f t="shared" si="9"/>
        <v>0</v>
      </c>
      <c r="P119" s="160">
        <f t="shared" si="10"/>
        <v>0</v>
      </c>
      <c r="Q119" s="1"/>
      <c r="R119" s="1"/>
      <c r="S119" s="1"/>
      <c r="T119" s="1"/>
      <c r="U119" s="1"/>
    </row>
    <row r="120" spans="3:21">
      <c r="C120" s="155">
        <f>IF(D94="","-",+C119+1)</f>
        <v>2034</v>
      </c>
      <c r="D120" s="156">
        <f>IF(F119+SUM(E$100:E119)=D$93,F119,D$93-SUM(E$100:E119))</f>
        <v>897805.17546796822</v>
      </c>
      <c r="E120" s="162">
        <f t="shared" si="12"/>
        <v>51795.139166666668</v>
      </c>
      <c r="F120" s="161">
        <f t="shared" si="13"/>
        <v>846010.03630130156</v>
      </c>
      <c r="G120" s="161">
        <f t="shared" si="14"/>
        <v>871907.60588463489</v>
      </c>
      <c r="H120" s="165">
        <f t="shared" si="15"/>
        <v>143835.84143196658</v>
      </c>
      <c r="I120" s="299">
        <f t="shared" si="16"/>
        <v>143835.84143196658</v>
      </c>
      <c r="J120" s="160">
        <f t="shared" si="11"/>
        <v>0</v>
      </c>
      <c r="K120" s="160"/>
      <c r="L120" s="316"/>
      <c r="M120" s="160">
        <f t="shared" si="17"/>
        <v>0</v>
      </c>
      <c r="N120" s="316"/>
      <c r="O120" s="160">
        <f t="shared" si="9"/>
        <v>0</v>
      </c>
      <c r="P120" s="160">
        <f t="shared" si="10"/>
        <v>0</v>
      </c>
      <c r="Q120" s="1"/>
      <c r="R120" s="1"/>
      <c r="S120" s="1"/>
      <c r="T120" s="1"/>
      <c r="U120" s="1"/>
    </row>
    <row r="121" spans="3:21">
      <c r="C121" s="155">
        <f>IF(D94="","-",+C120+1)</f>
        <v>2035</v>
      </c>
      <c r="D121" s="156">
        <f>IF(F120+SUM(E$100:E120)=D$93,F120,D$93-SUM(E$100:E120))</f>
        <v>846010.03630130156</v>
      </c>
      <c r="E121" s="162">
        <f t="shared" si="12"/>
        <v>51795.139166666668</v>
      </c>
      <c r="F121" s="161">
        <f t="shared" si="13"/>
        <v>794214.8971346349</v>
      </c>
      <c r="G121" s="161">
        <f t="shared" si="14"/>
        <v>820112.46671796823</v>
      </c>
      <c r="H121" s="165">
        <f t="shared" si="15"/>
        <v>138368.21969010541</v>
      </c>
      <c r="I121" s="299">
        <f t="shared" si="16"/>
        <v>138368.21969010541</v>
      </c>
      <c r="J121" s="160">
        <f t="shared" si="11"/>
        <v>0</v>
      </c>
      <c r="K121" s="160"/>
      <c r="L121" s="316"/>
      <c r="M121" s="160">
        <f t="shared" si="17"/>
        <v>0</v>
      </c>
      <c r="N121" s="316"/>
      <c r="O121" s="160">
        <f t="shared" si="9"/>
        <v>0</v>
      </c>
      <c r="P121" s="160">
        <f t="shared" si="10"/>
        <v>0</v>
      </c>
      <c r="Q121" s="1"/>
      <c r="R121" s="1"/>
      <c r="S121" s="1"/>
      <c r="T121" s="1"/>
      <c r="U121" s="1"/>
    </row>
    <row r="122" spans="3:21">
      <c r="C122" s="155">
        <f>IF(D94="","-",+C121+1)</f>
        <v>2036</v>
      </c>
      <c r="D122" s="156">
        <f>IF(F121+SUM(E$100:E121)=D$93,F121,D$93-SUM(E$100:E121))</f>
        <v>794214.8971346349</v>
      </c>
      <c r="E122" s="162">
        <f t="shared" si="12"/>
        <v>51795.139166666668</v>
      </c>
      <c r="F122" s="161">
        <f t="shared" si="13"/>
        <v>742419.75796796824</v>
      </c>
      <c r="G122" s="161">
        <f t="shared" si="14"/>
        <v>768317.32755130157</v>
      </c>
      <c r="H122" s="165">
        <f t="shared" si="15"/>
        <v>132900.59794824425</v>
      </c>
      <c r="I122" s="299">
        <f t="shared" si="16"/>
        <v>132900.59794824425</v>
      </c>
      <c r="J122" s="160">
        <f t="shared" si="11"/>
        <v>0</v>
      </c>
      <c r="K122" s="160"/>
      <c r="L122" s="316"/>
      <c r="M122" s="160">
        <f t="shared" si="17"/>
        <v>0</v>
      </c>
      <c r="N122" s="316"/>
      <c r="O122" s="160">
        <f t="shared" si="9"/>
        <v>0</v>
      </c>
      <c r="P122" s="160">
        <f t="shared" si="10"/>
        <v>0</v>
      </c>
      <c r="Q122" s="1"/>
      <c r="R122" s="1"/>
      <c r="S122" s="1"/>
      <c r="T122" s="1"/>
      <c r="U122" s="1"/>
    </row>
    <row r="123" spans="3:21">
      <c r="C123" s="155">
        <f>IF(D94="","-",+C122+1)</f>
        <v>2037</v>
      </c>
      <c r="D123" s="156">
        <f>IF(F122+SUM(E$100:E122)=D$93,F122,D$93-SUM(E$100:E122))</f>
        <v>742419.75796796824</v>
      </c>
      <c r="E123" s="162">
        <f t="shared" si="12"/>
        <v>51795.139166666668</v>
      </c>
      <c r="F123" s="161">
        <f t="shared" si="13"/>
        <v>690624.61880130158</v>
      </c>
      <c r="G123" s="161">
        <f t="shared" si="14"/>
        <v>716522.18838463491</v>
      </c>
      <c r="H123" s="165">
        <f t="shared" si="15"/>
        <v>127432.97620638309</v>
      </c>
      <c r="I123" s="299">
        <f t="shared" si="16"/>
        <v>127432.97620638309</v>
      </c>
      <c r="J123" s="160">
        <f t="shared" si="11"/>
        <v>0</v>
      </c>
      <c r="K123" s="160"/>
      <c r="L123" s="316"/>
      <c r="M123" s="160">
        <f t="shared" si="17"/>
        <v>0</v>
      </c>
      <c r="N123" s="316"/>
      <c r="O123" s="160">
        <f t="shared" si="9"/>
        <v>0</v>
      </c>
      <c r="P123" s="160">
        <f t="shared" si="10"/>
        <v>0</v>
      </c>
      <c r="Q123" s="1"/>
      <c r="R123" s="1"/>
      <c r="S123" s="1"/>
      <c r="T123" s="1"/>
      <c r="U123" s="1"/>
    </row>
    <row r="124" spans="3:21">
      <c r="C124" s="155">
        <f>IF(D94="","-",+C123+1)</f>
        <v>2038</v>
      </c>
      <c r="D124" s="156">
        <f>IF(F123+SUM(E$100:E123)=D$93,F123,D$93-SUM(E$100:E123))</f>
        <v>690624.61880130158</v>
      </c>
      <c r="E124" s="162">
        <f t="shared" si="12"/>
        <v>51795.139166666668</v>
      </c>
      <c r="F124" s="161">
        <f t="shared" si="13"/>
        <v>638829.47963463492</v>
      </c>
      <c r="G124" s="161">
        <f t="shared" si="14"/>
        <v>664727.04921796825</v>
      </c>
      <c r="H124" s="165">
        <f t="shared" si="15"/>
        <v>121965.35446452195</v>
      </c>
      <c r="I124" s="299">
        <f t="shared" si="16"/>
        <v>121965.35446452195</v>
      </c>
      <c r="J124" s="160">
        <f t="shared" si="11"/>
        <v>0</v>
      </c>
      <c r="K124" s="160"/>
      <c r="L124" s="316"/>
      <c r="M124" s="160">
        <f t="shared" si="17"/>
        <v>0</v>
      </c>
      <c r="N124" s="316"/>
      <c r="O124" s="160">
        <f t="shared" si="9"/>
        <v>0</v>
      </c>
      <c r="P124" s="160">
        <f t="shared" si="10"/>
        <v>0</v>
      </c>
      <c r="Q124" s="1"/>
      <c r="R124" s="1"/>
      <c r="S124" s="1"/>
      <c r="T124" s="1"/>
      <c r="U124" s="1"/>
    </row>
    <row r="125" spans="3:21">
      <c r="C125" s="155">
        <f>IF(D94="","-",+C124+1)</f>
        <v>2039</v>
      </c>
      <c r="D125" s="156">
        <f>IF(F124+SUM(E$100:E124)=D$93,F124,D$93-SUM(E$100:E124))</f>
        <v>638829.47963463492</v>
      </c>
      <c r="E125" s="162">
        <f t="shared" si="12"/>
        <v>51795.139166666668</v>
      </c>
      <c r="F125" s="161">
        <f t="shared" si="13"/>
        <v>587034.34046796826</v>
      </c>
      <c r="G125" s="161">
        <f t="shared" si="14"/>
        <v>612931.91005130159</v>
      </c>
      <c r="H125" s="165">
        <f t="shared" si="15"/>
        <v>116497.73272266079</v>
      </c>
      <c r="I125" s="299">
        <f t="shared" si="16"/>
        <v>116497.73272266079</v>
      </c>
      <c r="J125" s="160">
        <f t="shared" si="11"/>
        <v>0</v>
      </c>
      <c r="K125" s="160"/>
      <c r="L125" s="316"/>
      <c r="M125" s="160">
        <f t="shared" si="17"/>
        <v>0</v>
      </c>
      <c r="N125" s="316"/>
      <c r="O125" s="160">
        <f t="shared" si="9"/>
        <v>0</v>
      </c>
      <c r="P125" s="160">
        <f t="shared" si="10"/>
        <v>0</v>
      </c>
      <c r="Q125" s="1"/>
      <c r="R125" s="1"/>
      <c r="S125" s="1"/>
      <c r="T125" s="1"/>
      <c r="U125" s="1"/>
    </row>
    <row r="126" spans="3:21">
      <c r="C126" s="155">
        <f>IF(D94="","-",+C125+1)</f>
        <v>2040</v>
      </c>
      <c r="D126" s="156">
        <f>IF(F125+SUM(E$100:E125)=D$93,F125,D$93-SUM(E$100:E125))</f>
        <v>587034.34046796826</v>
      </c>
      <c r="E126" s="162">
        <f t="shared" si="12"/>
        <v>51795.139166666668</v>
      </c>
      <c r="F126" s="161">
        <f t="shared" si="13"/>
        <v>535239.2013013016</v>
      </c>
      <c r="G126" s="161">
        <f t="shared" si="14"/>
        <v>561136.77088463493</v>
      </c>
      <c r="H126" s="165">
        <f t="shared" si="15"/>
        <v>111030.11098079963</v>
      </c>
      <c r="I126" s="299">
        <f t="shared" si="16"/>
        <v>111030.11098079963</v>
      </c>
      <c r="J126" s="160">
        <f t="shared" si="11"/>
        <v>0</v>
      </c>
      <c r="K126" s="160"/>
      <c r="L126" s="316"/>
      <c r="M126" s="160">
        <f t="shared" si="17"/>
        <v>0</v>
      </c>
      <c r="N126" s="316"/>
      <c r="O126" s="160">
        <f t="shared" si="9"/>
        <v>0</v>
      </c>
      <c r="P126" s="160">
        <f t="shared" si="10"/>
        <v>0</v>
      </c>
      <c r="Q126" s="1"/>
      <c r="R126" s="1"/>
      <c r="S126" s="1"/>
      <c r="T126" s="1"/>
      <c r="U126" s="1"/>
    </row>
    <row r="127" spans="3:21">
      <c r="C127" s="155">
        <f>IF(D94="","-",+C126+1)</f>
        <v>2041</v>
      </c>
      <c r="D127" s="156">
        <f>IF(F126+SUM(E$100:E126)=D$93,F126,D$93-SUM(E$100:E126))</f>
        <v>535239.2013013016</v>
      </c>
      <c r="E127" s="162">
        <f t="shared" si="12"/>
        <v>51795.139166666668</v>
      </c>
      <c r="F127" s="161">
        <f t="shared" si="13"/>
        <v>483444.06213463494</v>
      </c>
      <c r="G127" s="161">
        <f t="shared" si="14"/>
        <v>509341.63171796827</v>
      </c>
      <c r="H127" s="165">
        <f t="shared" si="15"/>
        <v>105562.48923893846</v>
      </c>
      <c r="I127" s="299">
        <f t="shared" si="16"/>
        <v>105562.48923893846</v>
      </c>
      <c r="J127" s="160">
        <f t="shared" si="11"/>
        <v>0</v>
      </c>
      <c r="K127" s="160"/>
      <c r="L127" s="316"/>
      <c r="M127" s="160">
        <f t="shared" si="17"/>
        <v>0</v>
      </c>
      <c r="N127" s="316"/>
      <c r="O127" s="160">
        <f t="shared" si="9"/>
        <v>0</v>
      </c>
      <c r="P127" s="160">
        <f t="shared" si="10"/>
        <v>0</v>
      </c>
      <c r="Q127" s="1"/>
      <c r="R127" s="1"/>
      <c r="S127" s="1"/>
      <c r="T127" s="1"/>
      <c r="U127" s="1"/>
    </row>
    <row r="128" spans="3:21">
      <c r="C128" s="155">
        <f>IF(D94="","-",+C127+1)</f>
        <v>2042</v>
      </c>
      <c r="D128" s="156">
        <f>IF(F127+SUM(E$100:E127)=D$93,F127,D$93-SUM(E$100:E127))</f>
        <v>483444.06213463494</v>
      </c>
      <c r="E128" s="162">
        <f t="shared" si="12"/>
        <v>51795.139166666668</v>
      </c>
      <c r="F128" s="161">
        <f t="shared" si="13"/>
        <v>431648.92296796828</v>
      </c>
      <c r="G128" s="161">
        <f t="shared" si="14"/>
        <v>457546.49255130161</v>
      </c>
      <c r="H128" s="165">
        <f t="shared" si="15"/>
        <v>100094.8674970773</v>
      </c>
      <c r="I128" s="299">
        <f t="shared" si="16"/>
        <v>100094.8674970773</v>
      </c>
      <c r="J128" s="160">
        <f t="shared" si="11"/>
        <v>0</v>
      </c>
      <c r="K128" s="160"/>
      <c r="L128" s="316"/>
      <c r="M128" s="160">
        <f t="shared" si="17"/>
        <v>0</v>
      </c>
      <c r="N128" s="316"/>
      <c r="O128" s="160">
        <f t="shared" si="9"/>
        <v>0</v>
      </c>
      <c r="P128" s="160">
        <f t="shared" si="10"/>
        <v>0</v>
      </c>
      <c r="Q128" s="1"/>
      <c r="R128" s="1"/>
      <c r="S128" s="1"/>
      <c r="T128" s="1"/>
      <c r="U128" s="1"/>
    </row>
    <row r="129" spans="3:21">
      <c r="C129" s="155">
        <f>IF(D94="","-",+C128+1)</f>
        <v>2043</v>
      </c>
      <c r="D129" s="156">
        <f>IF(F128+SUM(E$100:E128)=D$93,F128,D$93-SUM(E$100:E128))</f>
        <v>431648.92296796828</v>
      </c>
      <c r="E129" s="162">
        <f t="shared" si="12"/>
        <v>51795.139166666668</v>
      </c>
      <c r="F129" s="161">
        <f t="shared" si="13"/>
        <v>379853.78380130162</v>
      </c>
      <c r="G129" s="161">
        <f t="shared" si="14"/>
        <v>405751.35338463495</v>
      </c>
      <c r="H129" s="165">
        <f t="shared" si="15"/>
        <v>94627.245755216136</v>
      </c>
      <c r="I129" s="299">
        <f t="shared" si="16"/>
        <v>94627.245755216136</v>
      </c>
      <c r="J129" s="160">
        <f t="shared" si="11"/>
        <v>0</v>
      </c>
      <c r="K129" s="160"/>
      <c r="L129" s="316"/>
      <c r="M129" s="160">
        <f t="shared" si="17"/>
        <v>0</v>
      </c>
      <c r="N129" s="316"/>
      <c r="O129" s="160">
        <f t="shared" si="9"/>
        <v>0</v>
      </c>
      <c r="P129" s="160">
        <f t="shared" si="10"/>
        <v>0</v>
      </c>
      <c r="Q129" s="1"/>
      <c r="R129" s="1"/>
      <c r="S129" s="1"/>
      <c r="T129" s="1"/>
      <c r="U129" s="1"/>
    </row>
    <row r="130" spans="3:21">
      <c r="C130" s="155">
        <f>IF(D94="","-",+C129+1)</f>
        <v>2044</v>
      </c>
      <c r="D130" s="156">
        <f>IF(F129+SUM(E$100:E129)=D$93,F129,D$93-SUM(E$100:E129))</f>
        <v>379853.78380130162</v>
      </c>
      <c r="E130" s="162">
        <f t="shared" si="12"/>
        <v>51795.139166666668</v>
      </c>
      <c r="F130" s="161">
        <f t="shared" si="13"/>
        <v>328058.64463463495</v>
      </c>
      <c r="G130" s="161">
        <f t="shared" si="14"/>
        <v>353956.21421796829</v>
      </c>
      <c r="H130" s="165">
        <f t="shared" si="15"/>
        <v>89159.624013354987</v>
      </c>
      <c r="I130" s="299">
        <f t="shared" si="16"/>
        <v>89159.624013354987</v>
      </c>
      <c r="J130" s="160">
        <f t="shared" si="11"/>
        <v>0</v>
      </c>
      <c r="K130" s="160"/>
      <c r="L130" s="316"/>
      <c r="M130" s="160">
        <f t="shared" si="17"/>
        <v>0</v>
      </c>
      <c r="N130" s="316"/>
      <c r="O130" s="160">
        <f t="shared" si="9"/>
        <v>0</v>
      </c>
      <c r="P130" s="160">
        <f t="shared" si="10"/>
        <v>0</v>
      </c>
      <c r="Q130" s="1"/>
      <c r="R130" s="1"/>
      <c r="S130" s="1"/>
      <c r="T130" s="1"/>
      <c r="U130" s="1"/>
    </row>
    <row r="131" spans="3:21">
      <c r="C131" s="155">
        <f>IF(D94="","-",+C130+1)</f>
        <v>2045</v>
      </c>
      <c r="D131" s="156">
        <f>IF(F130+SUM(E$100:E130)=D$93,F130,D$93-SUM(E$100:E130))</f>
        <v>328058.64463463495</v>
      </c>
      <c r="E131" s="162">
        <f t="shared" si="12"/>
        <v>51795.139166666668</v>
      </c>
      <c r="F131" s="161">
        <f t="shared" si="13"/>
        <v>276263.50546796829</v>
      </c>
      <c r="G131" s="161">
        <f t="shared" si="14"/>
        <v>302161.07505130162</v>
      </c>
      <c r="H131" s="165">
        <f t="shared" si="15"/>
        <v>83692.002271493824</v>
      </c>
      <c r="I131" s="299">
        <f t="shared" si="16"/>
        <v>83692.002271493824</v>
      </c>
      <c r="J131" s="160">
        <f t="shared" si="11"/>
        <v>0</v>
      </c>
      <c r="K131" s="160"/>
      <c r="L131" s="316"/>
      <c r="M131" s="160">
        <f t="shared" si="17"/>
        <v>0</v>
      </c>
      <c r="N131" s="316"/>
      <c r="O131" s="160">
        <f t="shared" si="9"/>
        <v>0</v>
      </c>
      <c r="P131" s="160">
        <f t="shared" si="10"/>
        <v>0</v>
      </c>
      <c r="Q131" s="1"/>
      <c r="R131" s="1"/>
      <c r="S131" s="1"/>
      <c r="T131" s="1"/>
      <c r="U131" s="1"/>
    </row>
    <row r="132" spans="3:21">
      <c r="C132" s="155">
        <f>IF(D94="","-",+C131+1)</f>
        <v>2046</v>
      </c>
      <c r="D132" s="156">
        <f>IF(F131+SUM(E$100:E131)=D$93,F131,D$93-SUM(E$100:E131))</f>
        <v>276263.50546796829</v>
      </c>
      <c r="E132" s="162">
        <f t="shared" si="12"/>
        <v>51795.139166666668</v>
      </c>
      <c r="F132" s="161">
        <f t="shared" si="13"/>
        <v>224468.36630130163</v>
      </c>
      <c r="G132" s="161">
        <f t="shared" si="14"/>
        <v>250365.93588463496</v>
      </c>
      <c r="H132" s="165">
        <f t="shared" si="15"/>
        <v>78224.380529632675</v>
      </c>
      <c r="I132" s="299">
        <f t="shared" si="16"/>
        <v>78224.380529632675</v>
      </c>
      <c r="J132" s="160">
        <f t="shared" si="11"/>
        <v>0</v>
      </c>
      <c r="K132" s="160"/>
      <c r="L132" s="316"/>
      <c r="M132" s="160">
        <f t="shared" ref="M132:M155" si="18">IF(L542&lt;&gt;0,+H542-L542,0)</f>
        <v>0</v>
      </c>
      <c r="N132" s="316"/>
      <c r="O132" s="160">
        <f t="shared" ref="O132:O155" si="19">IF(N542&lt;&gt;0,+I542-N542,0)</f>
        <v>0</v>
      </c>
      <c r="P132" s="160">
        <f t="shared" ref="P132:P155" si="20">+O542-M542</f>
        <v>0</v>
      </c>
      <c r="Q132" s="1"/>
      <c r="R132" s="1"/>
      <c r="S132" s="1"/>
      <c r="T132" s="1"/>
      <c r="U132" s="1"/>
    </row>
    <row r="133" spans="3:21">
      <c r="C133" s="155">
        <f>IF(D94="","-",+C132+1)</f>
        <v>2047</v>
      </c>
      <c r="D133" s="156">
        <f>IF(F132+SUM(E$100:E132)=D$93,F132,D$93-SUM(E$100:E132))</f>
        <v>224468.36630130163</v>
      </c>
      <c r="E133" s="162">
        <f t="shared" si="12"/>
        <v>51795.139166666668</v>
      </c>
      <c r="F133" s="161">
        <f t="shared" si="13"/>
        <v>172673.22713463497</v>
      </c>
      <c r="G133" s="161">
        <f t="shared" si="14"/>
        <v>198570.7967179683</v>
      </c>
      <c r="H133" s="165">
        <f t="shared" si="15"/>
        <v>72756.758787771512</v>
      </c>
      <c r="I133" s="299">
        <f t="shared" si="16"/>
        <v>72756.758787771512</v>
      </c>
      <c r="J133" s="160">
        <f t="shared" si="11"/>
        <v>0</v>
      </c>
      <c r="K133" s="160"/>
      <c r="L133" s="316"/>
      <c r="M133" s="160">
        <f t="shared" si="18"/>
        <v>0</v>
      </c>
      <c r="N133" s="316"/>
      <c r="O133" s="160">
        <f t="shared" si="19"/>
        <v>0</v>
      </c>
      <c r="P133" s="160">
        <f t="shared" si="20"/>
        <v>0</v>
      </c>
      <c r="Q133" s="1"/>
      <c r="R133" s="1"/>
      <c r="S133" s="1"/>
      <c r="T133" s="1"/>
      <c r="U133" s="1"/>
    </row>
    <row r="134" spans="3:21">
      <c r="C134" s="155">
        <f>IF(D94="","-",+C133+1)</f>
        <v>2048</v>
      </c>
      <c r="D134" s="156">
        <f>IF(F133+SUM(E$100:E133)=D$93,F133,D$93-SUM(E$100:E133))</f>
        <v>172673.22713463497</v>
      </c>
      <c r="E134" s="162">
        <f t="shared" si="12"/>
        <v>51795.139166666668</v>
      </c>
      <c r="F134" s="161">
        <f t="shared" si="13"/>
        <v>120878.08796796831</v>
      </c>
      <c r="G134" s="161">
        <f t="shared" si="14"/>
        <v>146775.65755130164</v>
      </c>
      <c r="H134" s="165">
        <f t="shared" si="15"/>
        <v>67289.137045910349</v>
      </c>
      <c r="I134" s="299">
        <f t="shared" si="16"/>
        <v>67289.137045910349</v>
      </c>
      <c r="J134" s="160">
        <f t="shared" si="11"/>
        <v>0</v>
      </c>
      <c r="K134" s="160"/>
      <c r="L134" s="316"/>
      <c r="M134" s="160">
        <f t="shared" si="18"/>
        <v>0</v>
      </c>
      <c r="N134" s="316"/>
      <c r="O134" s="160">
        <f t="shared" si="19"/>
        <v>0</v>
      </c>
      <c r="P134" s="160">
        <f t="shared" si="20"/>
        <v>0</v>
      </c>
      <c r="Q134" s="1"/>
      <c r="R134" s="1"/>
      <c r="S134" s="1"/>
      <c r="T134" s="1"/>
      <c r="U134" s="1"/>
    </row>
    <row r="135" spans="3:21">
      <c r="C135" s="155">
        <f>IF(D94="","-",+C134+1)</f>
        <v>2049</v>
      </c>
      <c r="D135" s="156">
        <f>IF(F134+SUM(E$100:E134)=D$93,F134,D$93-SUM(E$100:E134))</f>
        <v>120878.08796796831</v>
      </c>
      <c r="E135" s="162">
        <f t="shared" si="12"/>
        <v>51795.139166666668</v>
      </c>
      <c r="F135" s="161">
        <f t="shared" si="13"/>
        <v>69082.948801301653</v>
      </c>
      <c r="G135" s="161">
        <f t="shared" si="14"/>
        <v>94980.518384634983</v>
      </c>
      <c r="H135" s="165">
        <f t="shared" si="15"/>
        <v>61821.515304049193</v>
      </c>
      <c r="I135" s="299">
        <f t="shared" si="16"/>
        <v>61821.515304049193</v>
      </c>
      <c r="J135" s="160">
        <f t="shared" si="11"/>
        <v>0</v>
      </c>
      <c r="K135" s="160"/>
      <c r="L135" s="316"/>
      <c r="M135" s="160">
        <f t="shared" si="18"/>
        <v>0</v>
      </c>
      <c r="N135" s="316"/>
      <c r="O135" s="160">
        <f t="shared" si="19"/>
        <v>0</v>
      </c>
      <c r="P135" s="160">
        <f t="shared" si="20"/>
        <v>0</v>
      </c>
      <c r="Q135" s="1"/>
      <c r="R135" s="1"/>
      <c r="S135" s="1"/>
      <c r="T135" s="1"/>
      <c r="U135" s="1"/>
    </row>
    <row r="136" spans="3:21">
      <c r="C136" s="155">
        <f>IF(D94="","-",+C135+1)</f>
        <v>2050</v>
      </c>
      <c r="D136" s="156">
        <f>IF(F135+SUM(E$100:E135)=D$93,F135,D$93-SUM(E$100:E135))</f>
        <v>69082.948801301653</v>
      </c>
      <c r="E136" s="162">
        <f t="shared" si="12"/>
        <v>51795.139166666668</v>
      </c>
      <c r="F136" s="161">
        <f t="shared" si="13"/>
        <v>17287.809634634985</v>
      </c>
      <c r="G136" s="161">
        <f t="shared" si="14"/>
        <v>43185.379217968322</v>
      </c>
      <c r="H136" s="165">
        <f t="shared" si="15"/>
        <v>56353.893562188037</v>
      </c>
      <c r="I136" s="299">
        <f t="shared" si="16"/>
        <v>56353.893562188037</v>
      </c>
      <c r="J136" s="160">
        <f t="shared" si="11"/>
        <v>0</v>
      </c>
      <c r="K136" s="160"/>
      <c r="L136" s="316"/>
      <c r="M136" s="160">
        <f t="shared" si="18"/>
        <v>0</v>
      </c>
      <c r="N136" s="316"/>
      <c r="O136" s="160">
        <f t="shared" si="19"/>
        <v>0</v>
      </c>
      <c r="P136" s="160">
        <f t="shared" si="20"/>
        <v>0</v>
      </c>
      <c r="Q136" s="1"/>
      <c r="R136" s="1"/>
      <c r="S136" s="1"/>
      <c r="T136" s="1"/>
      <c r="U136" s="1"/>
    </row>
    <row r="137" spans="3:21">
      <c r="C137" s="155">
        <f>IF(D94="","-",+C136+1)</f>
        <v>2051</v>
      </c>
      <c r="D137" s="156">
        <f>IF(F136+SUM(E$100:E136)=D$93,F136,D$93-SUM(E$100:E136))</f>
        <v>17287.809634634985</v>
      </c>
      <c r="E137" s="162">
        <f t="shared" si="12"/>
        <v>17287.809634634985</v>
      </c>
      <c r="F137" s="161">
        <f t="shared" si="13"/>
        <v>0</v>
      </c>
      <c r="G137" s="161">
        <f t="shared" si="14"/>
        <v>8643.9048173174924</v>
      </c>
      <c r="H137" s="165">
        <f t="shared" si="15"/>
        <v>18200.281396930379</v>
      </c>
      <c r="I137" s="299">
        <f t="shared" si="16"/>
        <v>18200.281396930379</v>
      </c>
      <c r="J137" s="160">
        <f t="shared" si="11"/>
        <v>0</v>
      </c>
      <c r="K137" s="160"/>
      <c r="L137" s="316"/>
      <c r="M137" s="160">
        <f t="shared" si="18"/>
        <v>0</v>
      </c>
      <c r="N137" s="316"/>
      <c r="O137" s="160">
        <f t="shared" si="19"/>
        <v>0</v>
      </c>
      <c r="P137" s="160">
        <f t="shared" si="20"/>
        <v>0</v>
      </c>
      <c r="Q137" s="1"/>
      <c r="R137" s="1"/>
      <c r="S137" s="1"/>
      <c r="T137" s="1"/>
      <c r="U137" s="1"/>
    </row>
    <row r="138" spans="3:21">
      <c r="C138" s="155">
        <f>IF(D94="","-",+C137+1)</f>
        <v>2052</v>
      </c>
      <c r="D138" s="156">
        <f>IF(F137+SUM(E$100:E137)=D$93,F137,D$93-SUM(E$100:E137))</f>
        <v>0</v>
      </c>
      <c r="E138" s="162">
        <f t="shared" si="12"/>
        <v>0</v>
      </c>
      <c r="F138" s="161">
        <f t="shared" si="13"/>
        <v>0</v>
      </c>
      <c r="G138" s="161">
        <f t="shared" si="14"/>
        <v>0</v>
      </c>
      <c r="H138" s="165">
        <f t="shared" si="15"/>
        <v>0</v>
      </c>
      <c r="I138" s="299">
        <f t="shared" si="16"/>
        <v>0</v>
      </c>
      <c r="J138" s="160">
        <f t="shared" si="11"/>
        <v>0</v>
      </c>
      <c r="K138" s="160"/>
      <c r="L138" s="316"/>
      <c r="M138" s="160">
        <f t="shared" si="18"/>
        <v>0</v>
      </c>
      <c r="N138" s="316"/>
      <c r="O138" s="160">
        <f t="shared" si="19"/>
        <v>0</v>
      </c>
      <c r="P138" s="160">
        <f t="shared" si="20"/>
        <v>0</v>
      </c>
      <c r="Q138" s="1"/>
      <c r="R138" s="1"/>
      <c r="S138" s="1"/>
      <c r="T138" s="1"/>
      <c r="U138" s="1"/>
    </row>
    <row r="139" spans="3:21">
      <c r="C139" s="155">
        <f>IF(D94="","-",+C138+1)</f>
        <v>2053</v>
      </c>
      <c r="D139" s="156">
        <f>IF(F138+SUM(E$100:E138)=D$93,F138,D$93-SUM(E$100:E138))</f>
        <v>0</v>
      </c>
      <c r="E139" s="162">
        <f t="shared" si="12"/>
        <v>0</v>
      </c>
      <c r="F139" s="161">
        <f t="shared" si="13"/>
        <v>0</v>
      </c>
      <c r="G139" s="161">
        <f t="shared" si="14"/>
        <v>0</v>
      </c>
      <c r="H139" s="165">
        <f t="shared" si="15"/>
        <v>0</v>
      </c>
      <c r="I139" s="299">
        <f t="shared" si="16"/>
        <v>0</v>
      </c>
      <c r="J139" s="160">
        <f t="shared" si="11"/>
        <v>0</v>
      </c>
      <c r="K139" s="160"/>
      <c r="L139" s="316"/>
      <c r="M139" s="160">
        <f t="shared" si="18"/>
        <v>0</v>
      </c>
      <c r="N139" s="316"/>
      <c r="O139" s="160">
        <f t="shared" si="19"/>
        <v>0</v>
      </c>
      <c r="P139" s="160">
        <f t="shared" si="20"/>
        <v>0</v>
      </c>
      <c r="Q139" s="1"/>
      <c r="R139" s="1"/>
      <c r="S139" s="1"/>
      <c r="T139" s="1"/>
      <c r="U139" s="1"/>
    </row>
    <row r="140" spans="3:21">
      <c r="C140" s="155">
        <f>IF(D94="","-",+C139+1)</f>
        <v>2054</v>
      </c>
      <c r="D140" s="156">
        <f>IF(F139+SUM(E$100:E139)=D$93,F139,D$93-SUM(E$100:E139))</f>
        <v>0</v>
      </c>
      <c r="E140" s="162">
        <f t="shared" si="12"/>
        <v>0</v>
      </c>
      <c r="F140" s="161">
        <f t="shared" si="13"/>
        <v>0</v>
      </c>
      <c r="G140" s="161">
        <f t="shared" si="14"/>
        <v>0</v>
      </c>
      <c r="H140" s="165">
        <f t="shared" si="15"/>
        <v>0</v>
      </c>
      <c r="I140" s="299">
        <f t="shared" si="16"/>
        <v>0</v>
      </c>
      <c r="J140" s="160">
        <f t="shared" si="11"/>
        <v>0</v>
      </c>
      <c r="K140" s="160"/>
      <c r="L140" s="316"/>
      <c r="M140" s="160">
        <f t="shared" si="18"/>
        <v>0</v>
      </c>
      <c r="N140" s="316"/>
      <c r="O140" s="160">
        <f t="shared" si="19"/>
        <v>0</v>
      </c>
      <c r="P140" s="160">
        <f t="shared" si="20"/>
        <v>0</v>
      </c>
      <c r="Q140" s="1"/>
      <c r="R140" s="1"/>
      <c r="S140" s="1"/>
      <c r="T140" s="1"/>
      <c r="U140" s="1"/>
    </row>
    <row r="141" spans="3:21">
      <c r="C141" s="155">
        <f>IF(D94="","-",+C140+1)</f>
        <v>2055</v>
      </c>
      <c r="D141" s="156">
        <f>IF(F140+SUM(E$100:E140)=D$93,F140,D$93-SUM(E$100:E140))</f>
        <v>0</v>
      </c>
      <c r="E141" s="162">
        <f t="shared" si="12"/>
        <v>0</v>
      </c>
      <c r="F141" s="161">
        <f t="shared" si="13"/>
        <v>0</v>
      </c>
      <c r="G141" s="161">
        <f t="shared" si="14"/>
        <v>0</v>
      </c>
      <c r="H141" s="165">
        <f t="shared" si="15"/>
        <v>0</v>
      </c>
      <c r="I141" s="299">
        <f t="shared" si="16"/>
        <v>0</v>
      </c>
      <c r="J141" s="160">
        <f t="shared" si="11"/>
        <v>0</v>
      </c>
      <c r="K141" s="160"/>
      <c r="L141" s="316"/>
      <c r="M141" s="160">
        <f t="shared" si="18"/>
        <v>0</v>
      </c>
      <c r="N141" s="316"/>
      <c r="O141" s="160">
        <f t="shared" si="19"/>
        <v>0</v>
      </c>
      <c r="P141" s="160">
        <f t="shared" si="20"/>
        <v>0</v>
      </c>
      <c r="Q141" s="1"/>
      <c r="R141" s="1"/>
      <c r="S141" s="1"/>
      <c r="T141" s="1"/>
      <c r="U141" s="1"/>
    </row>
    <row r="142" spans="3:21">
      <c r="C142" s="155">
        <f>IF(D94="","-",+C141+1)</f>
        <v>2056</v>
      </c>
      <c r="D142" s="156">
        <f>IF(F141+SUM(E$100:E141)=D$93,F141,D$93-SUM(E$100:E141))</f>
        <v>0</v>
      </c>
      <c r="E142" s="162">
        <f t="shared" si="12"/>
        <v>0</v>
      </c>
      <c r="F142" s="161">
        <f t="shared" si="13"/>
        <v>0</v>
      </c>
      <c r="G142" s="161">
        <f t="shared" si="14"/>
        <v>0</v>
      </c>
      <c r="H142" s="165">
        <f t="shared" si="15"/>
        <v>0</v>
      </c>
      <c r="I142" s="299">
        <f t="shared" si="16"/>
        <v>0</v>
      </c>
      <c r="J142" s="160">
        <f t="shared" si="11"/>
        <v>0</v>
      </c>
      <c r="K142" s="160"/>
      <c r="L142" s="316"/>
      <c r="M142" s="160">
        <f t="shared" si="18"/>
        <v>0</v>
      </c>
      <c r="N142" s="316"/>
      <c r="O142" s="160">
        <f t="shared" si="19"/>
        <v>0</v>
      </c>
      <c r="P142" s="160">
        <f t="shared" si="20"/>
        <v>0</v>
      </c>
      <c r="Q142" s="1"/>
      <c r="R142" s="1"/>
      <c r="S142" s="1"/>
      <c r="T142" s="1"/>
      <c r="U142" s="1"/>
    </row>
    <row r="143" spans="3:21">
      <c r="C143" s="155">
        <f>IF(D94="","-",+C142+1)</f>
        <v>2057</v>
      </c>
      <c r="D143" s="156">
        <f>IF(F142+SUM(E$100:E142)=D$93,F142,D$93-SUM(E$100:E142))</f>
        <v>0</v>
      </c>
      <c r="E143" s="162">
        <f t="shared" si="12"/>
        <v>0</v>
      </c>
      <c r="F143" s="161">
        <f t="shared" si="13"/>
        <v>0</v>
      </c>
      <c r="G143" s="161">
        <f t="shared" si="14"/>
        <v>0</v>
      </c>
      <c r="H143" s="165">
        <f t="shared" si="15"/>
        <v>0</v>
      </c>
      <c r="I143" s="299">
        <f t="shared" si="16"/>
        <v>0</v>
      </c>
      <c r="J143" s="160">
        <f t="shared" si="11"/>
        <v>0</v>
      </c>
      <c r="K143" s="160"/>
      <c r="L143" s="316"/>
      <c r="M143" s="160">
        <f t="shared" si="18"/>
        <v>0</v>
      </c>
      <c r="N143" s="316"/>
      <c r="O143" s="160">
        <f t="shared" si="19"/>
        <v>0</v>
      </c>
      <c r="P143" s="160">
        <f t="shared" si="20"/>
        <v>0</v>
      </c>
      <c r="Q143" s="1"/>
      <c r="R143" s="1"/>
      <c r="S143" s="1"/>
      <c r="T143" s="1"/>
      <c r="U143" s="1"/>
    </row>
    <row r="144" spans="3:21">
      <c r="C144" s="155">
        <f>IF(D94="","-",+C143+1)</f>
        <v>2058</v>
      </c>
      <c r="D144" s="156">
        <f>IF(F143+SUM(E$100:E143)=D$93,F143,D$93-SUM(E$100:E143))</f>
        <v>0</v>
      </c>
      <c r="E144" s="162">
        <f t="shared" si="12"/>
        <v>0</v>
      </c>
      <c r="F144" s="161">
        <f t="shared" si="13"/>
        <v>0</v>
      </c>
      <c r="G144" s="161">
        <f t="shared" si="14"/>
        <v>0</v>
      </c>
      <c r="H144" s="165">
        <f t="shared" si="15"/>
        <v>0</v>
      </c>
      <c r="I144" s="299">
        <f t="shared" si="16"/>
        <v>0</v>
      </c>
      <c r="J144" s="160">
        <f t="shared" si="11"/>
        <v>0</v>
      </c>
      <c r="K144" s="160"/>
      <c r="L144" s="316"/>
      <c r="M144" s="160">
        <f t="shared" si="18"/>
        <v>0</v>
      </c>
      <c r="N144" s="316"/>
      <c r="O144" s="160">
        <f t="shared" si="19"/>
        <v>0</v>
      </c>
      <c r="P144" s="160">
        <f t="shared" si="20"/>
        <v>0</v>
      </c>
      <c r="Q144" s="1"/>
      <c r="R144" s="1"/>
      <c r="S144" s="1"/>
      <c r="T144" s="1"/>
      <c r="U144" s="1"/>
    </row>
    <row r="145" spans="3:21">
      <c r="C145" s="155">
        <f>IF(D94="","-",+C144+1)</f>
        <v>2059</v>
      </c>
      <c r="D145" s="156">
        <f>IF(F144+SUM(E$100:E144)=D$93,F144,D$93-SUM(E$100:E144))</f>
        <v>0</v>
      </c>
      <c r="E145" s="162">
        <f t="shared" si="12"/>
        <v>0</v>
      </c>
      <c r="F145" s="161">
        <f t="shared" si="13"/>
        <v>0</v>
      </c>
      <c r="G145" s="161">
        <f t="shared" si="14"/>
        <v>0</v>
      </c>
      <c r="H145" s="165">
        <f t="shared" si="15"/>
        <v>0</v>
      </c>
      <c r="I145" s="299">
        <f t="shared" si="16"/>
        <v>0</v>
      </c>
      <c r="J145" s="160">
        <f t="shared" si="11"/>
        <v>0</v>
      </c>
      <c r="K145" s="160"/>
      <c r="L145" s="316"/>
      <c r="M145" s="160">
        <f t="shared" si="18"/>
        <v>0</v>
      </c>
      <c r="N145" s="316"/>
      <c r="O145" s="160">
        <f t="shared" si="19"/>
        <v>0</v>
      </c>
      <c r="P145" s="160">
        <f t="shared" si="20"/>
        <v>0</v>
      </c>
      <c r="Q145" s="1"/>
      <c r="R145" s="1"/>
      <c r="S145" s="1"/>
      <c r="T145" s="1"/>
      <c r="U145" s="1"/>
    </row>
    <row r="146" spans="3:21">
      <c r="C146" s="155">
        <f>IF(D94="","-",+C145+1)</f>
        <v>2060</v>
      </c>
      <c r="D146" s="156">
        <f>IF(F145+SUM(E$100:E145)=D$93,F145,D$93-SUM(E$100:E145))</f>
        <v>0</v>
      </c>
      <c r="E146" s="162">
        <f t="shared" si="12"/>
        <v>0</v>
      </c>
      <c r="F146" s="161">
        <f t="shared" si="13"/>
        <v>0</v>
      </c>
      <c r="G146" s="161">
        <f t="shared" si="14"/>
        <v>0</v>
      </c>
      <c r="H146" s="165">
        <f t="shared" si="15"/>
        <v>0</v>
      </c>
      <c r="I146" s="299">
        <f t="shared" si="16"/>
        <v>0</v>
      </c>
      <c r="J146" s="160">
        <f t="shared" si="11"/>
        <v>0</v>
      </c>
      <c r="K146" s="160"/>
      <c r="L146" s="316"/>
      <c r="M146" s="160">
        <f t="shared" si="18"/>
        <v>0</v>
      </c>
      <c r="N146" s="316"/>
      <c r="O146" s="160">
        <f t="shared" si="19"/>
        <v>0</v>
      </c>
      <c r="P146" s="160">
        <f t="shared" si="20"/>
        <v>0</v>
      </c>
      <c r="Q146" s="1"/>
      <c r="R146" s="1"/>
      <c r="S146" s="1"/>
      <c r="T146" s="1"/>
      <c r="U146" s="1"/>
    </row>
    <row r="147" spans="3:21">
      <c r="C147" s="155">
        <f>IF(D94="","-",+C146+1)</f>
        <v>2061</v>
      </c>
      <c r="D147" s="156">
        <f>IF(F146+SUM(E$100:E146)=D$93,F146,D$93-SUM(E$100:E146))</f>
        <v>0</v>
      </c>
      <c r="E147" s="162">
        <f t="shared" si="12"/>
        <v>0</v>
      </c>
      <c r="F147" s="161">
        <f t="shared" si="13"/>
        <v>0</v>
      </c>
      <c r="G147" s="161">
        <f t="shared" si="14"/>
        <v>0</v>
      </c>
      <c r="H147" s="165">
        <f t="shared" si="15"/>
        <v>0</v>
      </c>
      <c r="I147" s="299">
        <f t="shared" si="16"/>
        <v>0</v>
      </c>
      <c r="J147" s="160">
        <f t="shared" si="11"/>
        <v>0</v>
      </c>
      <c r="K147" s="160"/>
      <c r="L147" s="316"/>
      <c r="M147" s="160">
        <f t="shared" si="18"/>
        <v>0</v>
      </c>
      <c r="N147" s="316"/>
      <c r="O147" s="160">
        <f t="shared" si="19"/>
        <v>0</v>
      </c>
      <c r="P147" s="160">
        <f t="shared" si="20"/>
        <v>0</v>
      </c>
      <c r="Q147" s="1"/>
      <c r="R147" s="1"/>
      <c r="S147" s="1"/>
      <c r="T147" s="1"/>
      <c r="U147" s="1"/>
    </row>
    <row r="148" spans="3:21">
      <c r="C148" s="155">
        <f>IF(D94="","-",+C147+1)</f>
        <v>2062</v>
      </c>
      <c r="D148" s="156">
        <f>IF(F147+SUM(E$100:E147)=D$93,F147,D$93-SUM(E$100:E147))</f>
        <v>0</v>
      </c>
      <c r="E148" s="162">
        <f t="shared" si="12"/>
        <v>0</v>
      </c>
      <c r="F148" s="161">
        <f t="shared" si="13"/>
        <v>0</v>
      </c>
      <c r="G148" s="161">
        <f t="shared" si="14"/>
        <v>0</v>
      </c>
      <c r="H148" s="165">
        <f t="shared" si="15"/>
        <v>0</v>
      </c>
      <c r="I148" s="299">
        <f t="shared" si="16"/>
        <v>0</v>
      </c>
      <c r="J148" s="160">
        <f t="shared" si="11"/>
        <v>0</v>
      </c>
      <c r="K148" s="160"/>
      <c r="L148" s="316"/>
      <c r="M148" s="160">
        <f t="shared" si="18"/>
        <v>0</v>
      </c>
      <c r="N148" s="316"/>
      <c r="O148" s="160">
        <f t="shared" si="19"/>
        <v>0</v>
      </c>
      <c r="P148" s="160">
        <f t="shared" si="20"/>
        <v>0</v>
      </c>
      <c r="Q148" s="1"/>
      <c r="R148" s="1"/>
      <c r="S148" s="1"/>
      <c r="T148" s="1"/>
      <c r="U148" s="1"/>
    </row>
    <row r="149" spans="3:21">
      <c r="C149" s="155">
        <f>IF(D94="","-",+C148+1)</f>
        <v>2063</v>
      </c>
      <c r="D149" s="156">
        <f>IF(F148+SUM(E$100:E148)=D$93,F148,D$93-SUM(E$100:E148))</f>
        <v>0</v>
      </c>
      <c r="E149" s="162">
        <f t="shared" si="12"/>
        <v>0</v>
      </c>
      <c r="F149" s="161">
        <f t="shared" si="13"/>
        <v>0</v>
      </c>
      <c r="G149" s="161">
        <f t="shared" si="14"/>
        <v>0</v>
      </c>
      <c r="H149" s="165">
        <f t="shared" si="15"/>
        <v>0</v>
      </c>
      <c r="I149" s="299">
        <f t="shared" si="16"/>
        <v>0</v>
      </c>
      <c r="J149" s="160">
        <f t="shared" si="11"/>
        <v>0</v>
      </c>
      <c r="K149" s="160"/>
      <c r="L149" s="316"/>
      <c r="M149" s="160">
        <f t="shared" si="18"/>
        <v>0</v>
      </c>
      <c r="N149" s="316"/>
      <c r="O149" s="160">
        <f t="shared" si="19"/>
        <v>0</v>
      </c>
      <c r="P149" s="160">
        <f t="shared" si="20"/>
        <v>0</v>
      </c>
      <c r="Q149" s="1"/>
      <c r="R149" s="1"/>
      <c r="S149" s="1"/>
      <c r="T149" s="1"/>
      <c r="U149" s="1"/>
    </row>
    <row r="150" spans="3:21">
      <c r="C150" s="155">
        <f>IF(D94="","-",+C149+1)</f>
        <v>2064</v>
      </c>
      <c r="D150" s="156">
        <f>IF(F149+SUM(E$100:E149)=D$93,F149,D$93-SUM(E$100:E149))</f>
        <v>0</v>
      </c>
      <c r="E150" s="162">
        <f t="shared" si="12"/>
        <v>0</v>
      </c>
      <c r="F150" s="161">
        <f t="shared" si="13"/>
        <v>0</v>
      </c>
      <c r="G150" s="161">
        <f t="shared" si="14"/>
        <v>0</v>
      </c>
      <c r="H150" s="165">
        <f t="shared" si="15"/>
        <v>0</v>
      </c>
      <c r="I150" s="299">
        <f t="shared" si="16"/>
        <v>0</v>
      </c>
      <c r="J150" s="160">
        <f t="shared" si="11"/>
        <v>0</v>
      </c>
      <c r="K150" s="160"/>
      <c r="L150" s="316"/>
      <c r="M150" s="160">
        <f t="shared" si="18"/>
        <v>0</v>
      </c>
      <c r="N150" s="316"/>
      <c r="O150" s="160">
        <f t="shared" si="19"/>
        <v>0</v>
      </c>
      <c r="P150" s="160">
        <f t="shared" si="20"/>
        <v>0</v>
      </c>
      <c r="Q150" s="1"/>
      <c r="R150" s="1"/>
      <c r="S150" s="1"/>
      <c r="T150" s="1"/>
      <c r="U150" s="1"/>
    </row>
    <row r="151" spans="3:21">
      <c r="C151" s="155">
        <f>IF(D94="","-",+C150+1)</f>
        <v>2065</v>
      </c>
      <c r="D151" s="156">
        <f>IF(F150+SUM(E$100:E150)=D$93,F150,D$93-SUM(E$100:E150))</f>
        <v>0</v>
      </c>
      <c r="E151" s="162">
        <f t="shared" si="12"/>
        <v>0</v>
      </c>
      <c r="F151" s="161">
        <f t="shared" si="13"/>
        <v>0</v>
      </c>
      <c r="G151" s="161">
        <f t="shared" si="14"/>
        <v>0</v>
      </c>
      <c r="H151" s="165">
        <f t="shared" si="15"/>
        <v>0</v>
      </c>
      <c r="I151" s="299">
        <f t="shared" si="16"/>
        <v>0</v>
      </c>
      <c r="J151" s="160">
        <f t="shared" si="11"/>
        <v>0</v>
      </c>
      <c r="K151" s="160"/>
      <c r="L151" s="316"/>
      <c r="M151" s="160">
        <f t="shared" si="18"/>
        <v>0</v>
      </c>
      <c r="N151" s="316"/>
      <c r="O151" s="160">
        <f t="shared" si="19"/>
        <v>0</v>
      </c>
      <c r="P151" s="160">
        <f t="shared" si="20"/>
        <v>0</v>
      </c>
      <c r="Q151" s="1"/>
      <c r="R151" s="1"/>
      <c r="S151" s="1"/>
      <c r="T151" s="1"/>
      <c r="U151" s="1"/>
    </row>
    <row r="152" spans="3:21">
      <c r="C152" s="155">
        <f>IF(D94="","-",+C151+1)</f>
        <v>2066</v>
      </c>
      <c r="D152" s="156">
        <f>IF(F151+SUM(E$100:E151)=D$93,F151,D$93-SUM(E$100:E151))</f>
        <v>0</v>
      </c>
      <c r="E152" s="162">
        <f t="shared" si="12"/>
        <v>0</v>
      </c>
      <c r="F152" s="161">
        <f t="shared" si="13"/>
        <v>0</v>
      </c>
      <c r="G152" s="161">
        <f t="shared" si="14"/>
        <v>0</v>
      </c>
      <c r="H152" s="165">
        <f t="shared" si="15"/>
        <v>0</v>
      </c>
      <c r="I152" s="299">
        <f t="shared" si="16"/>
        <v>0</v>
      </c>
      <c r="J152" s="160">
        <f t="shared" si="11"/>
        <v>0</v>
      </c>
      <c r="K152" s="160"/>
      <c r="L152" s="316"/>
      <c r="M152" s="160">
        <f t="shared" si="18"/>
        <v>0</v>
      </c>
      <c r="N152" s="316"/>
      <c r="O152" s="160">
        <f t="shared" si="19"/>
        <v>0</v>
      </c>
      <c r="P152" s="160">
        <f t="shared" si="20"/>
        <v>0</v>
      </c>
      <c r="Q152" s="1"/>
      <c r="R152" s="1"/>
      <c r="S152" s="1"/>
      <c r="T152" s="1"/>
      <c r="U152" s="1"/>
    </row>
    <row r="153" spans="3:21">
      <c r="C153" s="155">
        <f>IF(D94="","-",+C152+1)</f>
        <v>2067</v>
      </c>
      <c r="D153" s="156">
        <f>IF(F152+SUM(E$100:E152)=D$93,F152,D$93-SUM(E$100:E152))</f>
        <v>0</v>
      </c>
      <c r="E153" s="162">
        <f t="shared" si="12"/>
        <v>0</v>
      </c>
      <c r="F153" s="161">
        <f t="shared" si="13"/>
        <v>0</v>
      </c>
      <c r="G153" s="161">
        <f t="shared" si="14"/>
        <v>0</v>
      </c>
      <c r="H153" s="165">
        <f t="shared" si="15"/>
        <v>0</v>
      </c>
      <c r="I153" s="299">
        <f t="shared" si="16"/>
        <v>0</v>
      </c>
      <c r="J153" s="160">
        <f t="shared" si="11"/>
        <v>0</v>
      </c>
      <c r="K153" s="160"/>
      <c r="L153" s="316"/>
      <c r="M153" s="160">
        <f t="shared" si="18"/>
        <v>0</v>
      </c>
      <c r="N153" s="316"/>
      <c r="O153" s="160">
        <f t="shared" si="19"/>
        <v>0</v>
      </c>
      <c r="P153" s="160">
        <f t="shared" si="20"/>
        <v>0</v>
      </c>
      <c r="Q153" s="1"/>
      <c r="R153" s="1"/>
      <c r="S153" s="1"/>
      <c r="T153" s="1"/>
      <c r="U153" s="1"/>
    </row>
    <row r="154" spans="3:21">
      <c r="C154" s="155">
        <f>IF(D94="","-",+C153+1)</f>
        <v>2068</v>
      </c>
      <c r="D154" s="156">
        <f>IF(F153+SUM(E$100:E153)=D$93,F153,D$93-SUM(E$100:E153))</f>
        <v>0</v>
      </c>
      <c r="E154" s="162">
        <f t="shared" si="12"/>
        <v>0</v>
      </c>
      <c r="F154" s="161">
        <f t="shared" si="13"/>
        <v>0</v>
      </c>
      <c r="G154" s="161">
        <f t="shared" si="14"/>
        <v>0</v>
      </c>
      <c r="H154" s="165">
        <f t="shared" si="15"/>
        <v>0</v>
      </c>
      <c r="I154" s="299">
        <f t="shared" si="16"/>
        <v>0</v>
      </c>
      <c r="J154" s="160">
        <f t="shared" si="11"/>
        <v>0</v>
      </c>
      <c r="K154" s="160"/>
      <c r="L154" s="316"/>
      <c r="M154" s="160">
        <f t="shared" si="18"/>
        <v>0</v>
      </c>
      <c r="N154" s="316"/>
      <c r="O154" s="160">
        <f t="shared" si="19"/>
        <v>0</v>
      </c>
      <c r="P154" s="160">
        <f t="shared" si="20"/>
        <v>0</v>
      </c>
      <c r="Q154" s="1"/>
      <c r="R154" s="1"/>
      <c r="S154" s="1"/>
      <c r="T154" s="1"/>
      <c r="U154" s="1"/>
    </row>
    <row r="155" spans="3:21" ht="13.5" thickBot="1">
      <c r="C155" s="166">
        <f>IF(D94="","-",+C154+1)</f>
        <v>2069</v>
      </c>
      <c r="D155" s="399">
        <f>IF(F154+SUM(E$100:E154)=D$93,F154,D$93-SUM(E$100:E154))</f>
        <v>0</v>
      </c>
      <c r="E155" s="168">
        <f t="shared" si="12"/>
        <v>0</v>
      </c>
      <c r="F155" s="167">
        <f t="shared" si="13"/>
        <v>0</v>
      </c>
      <c r="G155" s="167">
        <f t="shared" si="14"/>
        <v>0</v>
      </c>
      <c r="H155" s="169">
        <f t="shared" si="15"/>
        <v>0</v>
      </c>
      <c r="I155" s="300">
        <f t="shared" si="16"/>
        <v>0</v>
      </c>
      <c r="J155" s="171">
        <f t="shared" si="11"/>
        <v>0</v>
      </c>
      <c r="K155" s="160"/>
      <c r="L155" s="317"/>
      <c r="M155" s="171">
        <f t="shared" si="18"/>
        <v>0</v>
      </c>
      <c r="N155" s="317"/>
      <c r="O155" s="171">
        <f t="shared" si="19"/>
        <v>0</v>
      </c>
      <c r="P155" s="171">
        <f t="shared" si="20"/>
        <v>0</v>
      </c>
      <c r="Q155" s="1"/>
      <c r="R155" s="1"/>
      <c r="S155" s="1"/>
      <c r="T155" s="1"/>
      <c r="U155" s="1"/>
    </row>
    <row r="156" spans="3:21">
      <c r="C156" s="156" t="s">
        <v>75</v>
      </c>
      <c r="D156" s="112"/>
      <c r="E156" s="112">
        <f>SUM(E100:E155)</f>
        <v>1864625.01</v>
      </c>
      <c r="F156" s="112"/>
      <c r="G156" s="112"/>
      <c r="H156" s="112">
        <f>SUM(H100:H155)</f>
        <v>5605370.1518742079</v>
      </c>
      <c r="I156" s="112">
        <f>SUM(I100:I155)</f>
        <v>5605370.1518742079</v>
      </c>
      <c r="J156" s="112">
        <f>SUM(J100:J155)</f>
        <v>0</v>
      </c>
      <c r="K156" s="112"/>
      <c r="L156" s="112"/>
      <c r="M156" s="112"/>
      <c r="N156" s="112"/>
      <c r="O156" s="112"/>
      <c r="P156" s="1"/>
      <c r="Q156" s="1"/>
      <c r="R156" s="1"/>
      <c r="S156" s="1"/>
      <c r="T156" s="1"/>
      <c r="U156" s="1"/>
    </row>
    <row r="157" spans="3:21">
      <c r="C157" t="s">
        <v>90</v>
      </c>
      <c r="D157" s="2"/>
      <c r="E157" s="1"/>
      <c r="F157" s="1"/>
      <c r="G157" s="1"/>
      <c r="H157" s="1"/>
      <c r="I157" s="3"/>
      <c r="J157" s="3"/>
      <c r="K157" s="112"/>
      <c r="L157" s="3"/>
      <c r="M157" s="3"/>
      <c r="N157" s="3"/>
      <c r="O157" s="3"/>
      <c r="P157" s="1"/>
      <c r="Q157" s="1"/>
      <c r="R157" s="1"/>
      <c r="S157" s="1"/>
      <c r="T157" s="1"/>
      <c r="U157" s="1"/>
    </row>
    <row r="158" spans="3:21">
      <c r="C158" s="215"/>
      <c r="D158" s="2"/>
      <c r="E158" s="1"/>
      <c r="F158" s="1"/>
      <c r="G158" s="1"/>
      <c r="H158" s="1"/>
      <c r="I158" s="3"/>
      <c r="J158" s="3"/>
      <c r="K158" s="112"/>
      <c r="L158" s="3"/>
      <c r="M158" s="3"/>
      <c r="N158" s="3"/>
      <c r="O158" s="3"/>
      <c r="P158" s="1"/>
      <c r="Q158" s="1"/>
      <c r="R158" s="1"/>
      <c r="S158" s="1"/>
      <c r="T158" s="1"/>
      <c r="U158" s="1"/>
    </row>
    <row r="159" spans="3:21">
      <c r="C159" s="245" t="s">
        <v>130</v>
      </c>
      <c r="D159" s="2"/>
      <c r="E159" s="1"/>
      <c r="F159" s="1"/>
      <c r="G159" s="1"/>
      <c r="H159" s="1"/>
      <c r="I159" s="3"/>
      <c r="J159" s="3"/>
      <c r="K159" s="112"/>
      <c r="L159" s="3"/>
      <c r="M159" s="3"/>
      <c r="N159" s="3"/>
      <c r="O159" s="3"/>
      <c r="P159" s="1"/>
      <c r="Q159" s="1"/>
      <c r="R159" s="1"/>
      <c r="S159" s="1"/>
      <c r="T159" s="1"/>
      <c r="U159" s="1"/>
    </row>
    <row r="160" spans="3: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33" priority="1" stopIfTrue="1" operator="equal">
      <formula>$I$10</formula>
    </cfRule>
  </conditionalFormatting>
  <conditionalFormatting sqref="C100:C155">
    <cfRule type="cellIs" dxfId="3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U163"/>
  <sheetViews>
    <sheetView view="pageBreakPreview" zoomScale="78" zoomScaleNormal="100" zoomScaleSheetLayoutView="78" workbookViewId="0">
      <selection activeCell="D20" sqref="D20:H20"/>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9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1150685.0893689205</v>
      </c>
      <c r="P5" s="1"/>
      <c r="R5" s="1"/>
      <c r="S5" s="1"/>
      <c r="T5" s="1"/>
      <c r="U5" s="1"/>
    </row>
    <row r="6" spans="1:21" ht="15.75">
      <c r="C6" s="8"/>
      <c r="D6" s="2"/>
      <c r="E6" s="1"/>
      <c r="F6" s="1"/>
      <c r="G6" s="1"/>
      <c r="H6" s="119"/>
      <c r="I6" s="119"/>
      <c r="J6" s="120"/>
      <c r="K6" s="121" t="s">
        <v>243</v>
      </c>
      <c r="L6" s="122"/>
      <c r="M6" s="4"/>
      <c r="N6" s="123">
        <f>VLOOKUP(I10,C17:I73,6)</f>
        <v>1150685.0893689205</v>
      </c>
      <c r="O6" s="1"/>
      <c r="P6" s="1"/>
      <c r="R6" s="1"/>
      <c r="S6" s="1"/>
      <c r="T6" s="1"/>
      <c r="U6" s="1"/>
    </row>
    <row r="7" spans="1:21" ht="13.5" thickBot="1">
      <c r="C7" s="124" t="s">
        <v>46</v>
      </c>
      <c r="D7" s="258" t="s">
        <v>220</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C9" s="130" t="s">
        <v>48</v>
      </c>
      <c r="D9" s="224" t="s">
        <v>219</v>
      </c>
      <c r="E9" s="131"/>
      <c r="F9" s="131"/>
      <c r="G9" s="131"/>
      <c r="H9" s="131"/>
      <c r="I9" s="132"/>
      <c r="J9" s="133"/>
      <c r="O9" s="134"/>
      <c r="P9" s="4"/>
      <c r="R9" s="1"/>
      <c r="S9" s="1"/>
      <c r="T9" s="1"/>
      <c r="U9" s="1"/>
    </row>
    <row r="10" spans="1:21">
      <c r="C10" s="135" t="s">
        <v>49</v>
      </c>
      <c r="D10" s="136">
        <v>8535104</v>
      </c>
      <c r="E10" s="63" t="s">
        <v>50</v>
      </c>
      <c r="F10" s="134"/>
      <c r="G10" s="137"/>
      <c r="H10" s="137"/>
      <c r="I10" s="138">
        <f>+OKT.WS.F.BPU.ATRR.Projected!R100</f>
        <v>2018</v>
      </c>
      <c r="J10" s="133"/>
      <c r="K10" s="112" t="s">
        <v>51</v>
      </c>
      <c r="O10" s="4"/>
      <c r="P10" s="4"/>
      <c r="R10" s="1"/>
      <c r="S10" s="1"/>
      <c r="T10" s="1"/>
      <c r="U10" s="1"/>
    </row>
    <row r="11" spans="1:21">
      <c r="C11" s="139" t="s">
        <v>52</v>
      </c>
      <c r="D11" s="140">
        <v>2015</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6</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209319.85738284502</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155">
        <f>IF(D11= "","-",D11)</f>
        <v>2015</v>
      </c>
      <c r="D17" s="392">
        <v>7400000</v>
      </c>
      <c r="E17" s="400">
        <v>74674.92363561083</v>
      </c>
      <c r="F17" s="392">
        <v>7325325.0763643896</v>
      </c>
      <c r="G17" s="400">
        <v>578000.14938532724</v>
      </c>
      <c r="H17" s="398">
        <v>578000.14938532724</v>
      </c>
      <c r="I17" s="158">
        <v>0</v>
      </c>
      <c r="J17" s="158"/>
      <c r="K17" s="344">
        <f>G17</f>
        <v>578000.14938532724</v>
      </c>
      <c r="L17" s="345">
        <f>IF(K17&lt;&gt;0,+G17-K17,0)</f>
        <v>0</v>
      </c>
      <c r="M17" s="344">
        <f>H17</f>
        <v>578000.14938532724</v>
      </c>
      <c r="N17" s="160">
        <f>IF(M17&lt;&gt;0,+H17-M17,0)</f>
        <v>0</v>
      </c>
      <c r="O17" s="160">
        <f>+N17-L17</f>
        <v>0</v>
      </c>
      <c r="P17" s="4"/>
      <c r="R17" s="1"/>
      <c r="S17" s="1"/>
      <c r="T17" s="1"/>
      <c r="U17" s="1"/>
    </row>
    <row r="18" spans="2:21">
      <c r="B18" t="str">
        <f t="shared" si="0"/>
        <v>IU</v>
      </c>
      <c r="C18" s="155">
        <f>IF(D11="","-",+C17+1)</f>
        <v>2016</v>
      </c>
      <c r="D18" s="398">
        <v>8381815.0763643896</v>
      </c>
      <c r="E18" s="398">
        <v>175721.24624335562</v>
      </c>
      <c r="F18" s="398">
        <v>8206093.8301210338</v>
      </c>
      <c r="G18" s="398">
        <v>1060997.6854975934</v>
      </c>
      <c r="H18" s="398">
        <v>1060997.6854975934</v>
      </c>
      <c r="I18" s="158">
        <f>H18-G18</f>
        <v>0</v>
      </c>
      <c r="J18" s="158"/>
      <c r="K18" s="344">
        <f>G18</f>
        <v>1060997.6854975934</v>
      </c>
      <c r="L18" s="345">
        <f>IF(K18&lt;&gt;0,+G18-K18,0)</f>
        <v>0</v>
      </c>
      <c r="M18" s="344">
        <f>H18</f>
        <v>1060997.6854975934</v>
      </c>
      <c r="N18" s="160">
        <f t="shared" ref="N18:N73" si="1">IF(M18&lt;&gt;0,+H18-M18,0)</f>
        <v>0</v>
      </c>
      <c r="O18" s="160">
        <f t="shared" ref="O18:O73" si="2">+N18-L18</f>
        <v>0</v>
      </c>
      <c r="P18" s="4"/>
      <c r="R18" s="1"/>
      <c r="S18" s="1"/>
      <c r="T18" s="1"/>
      <c r="U18" s="1"/>
    </row>
    <row r="19" spans="2:21">
      <c r="B19" t="str">
        <f t="shared" si="0"/>
        <v>IU</v>
      </c>
      <c r="C19" s="155">
        <f>IF(D11="","-",+C18+1)</f>
        <v>2017</v>
      </c>
      <c r="D19" s="398">
        <v>8284707.8301210338</v>
      </c>
      <c r="E19" s="398">
        <v>167817.04229981007</v>
      </c>
      <c r="F19" s="398">
        <v>8116890.787821224</v>
      </c>
      <c r="G19" s="398">
        <v>1069412.6916216947</v>
      </c>
      <c r="H19" s="398">
        <v>1069412.6916216947</v>
      </c>
      <c r="I19" s="158">
        <f t="shared" ref="I19:I73" si="3">H19-G19</f>
        <v>0</v>
      </c>
      <c r="J19" s="158"/>
      <c r="K19" s="344">
        <f>G19</f>
        <v>1069412.6916216947</v>
      </c>
      <c r="L19" s="345">
        <f>IF(K19&lt;&gt;0,+G19-K19,0)</f>
        <v>0</v>
      </c>
      <c r="M19" s="344">
        <f>H19</f>
        <v>1069412.6916216947</v>
      </c>
      <c r="N19" s="160">
        <f>IF(M19&lt;&gt;0,+H19-M19,0)</f>
        <v>0</v>
      </c>
      <c r="O19" s="160">
        <f>+N19-L19</f>
        <v>0</v>
      </c>
      <c r="P19" s="4"/>
      <c r="R19" s="1"/>
      <c r="S19" s="1"/>
      <c r="T19" s="1"/>
      <c r="U19" s="1"/>
    </row>
    <row r="20" spans="2:21">
      <c r="B20" t="str">
        <f t="shared" si="0"/>
        <v/>
      </c>
      <c r="C20" s="155">
        <f>IF(D11="","-",+C19+1)</f>
        <v>2018</v>
      </c>
      <c r="D20" s="398">
        <v>8116890.787821224</v>
      </c>
      <c r="E20" s="398">
        <v>209319.85738284502</v>
      </c>
      <c r="F20" s="398">
        <v>7907570.9304383788</v>
      </c>
      <c r="G20" s="398">
        <v>1150685.0893689205</v>
      </c>
      <c r="H20" s="398">
        <v>1150685.0893689205</v>
      </c>
      <c r="I20" s="158">
        <v>0</v>
      </c>
      <c r="J20" s="158"/>
      <c r="K20" s="344">
        <f>G20</f>
        <v>1150685.0893689205</v>
      </c>
      <c r="L20" s="345">
        <f>IF(K20&lt;&gt;0,+G20-K20,0)</f>
        <v>0</v>
      </c>
      <c r="M20" s="344">
        <f>H20</f>
        <v>1150685.0893689205</v>
      </c>
      <c r="N20" s="160">
        <f>IF(M20&lt;&gt;0,+H20-M20,0)</f>
        <v>0</v>
      </c>
      <c r="O20" s="160">
        <f>+N20-L20</f>
        <v>0</v>
      </c>
      <c r="P20" s="4"/>
      <c r="R20" s="1"/>
      <c r="S20" s="1"/>
      <c r="T20" s="1"/>
      <c r="U20" s="1"/>
    </row>
    <row r="21" spans="2:21">
      <c r="B21" t="str">
        <f t="shared" si="0"/>
        <v/>
      </c>
      <c r="C21" s="155">
        <f>IF(D11="","-",+C20+1)</f>
        <v>2019</v>
      </c>
      <c r="D21" s="164">
        <f>IF(F20+SUM(E$17:E20)=D$10,F20,D$10-SUM(E$17:E20))</f>
        <v>7907570.9304383788</v>
      </c>
      <c r="E21" s="162">
        <f t="shared" ref="E21:E73" si="4">IF(+$I$14&lt;F20,$I$14,D21)</f>
        <v>209319.85738284502</v>
      </c>
      <c r="F21" s="161">
        <f t="shared" ref="F21:F73" si="5">+D21-E21</f>
        <v>7698251.0730555337</v>
      </c>
      <c r="G21" s="163">
        <f t="shared" ref="G21:G73" si="6">(D21+F21)/2*I$12+E21</f>
        <v>1126091.884359112</v>
      </c>
      <c r="H21" s="145">
        <f t="shared" ref="H21:H73" si="7">+(D21+F21)/2*I$13+E21</f>
        <v>1126091.884359112</v>
      </c>
      <c r="I21" s="158">
        <f t="shared" si="3"/>
        <v>0</v>
      </c>
      <c r="J21" s="158"/>
      <c r="K21" s="316"/>
      <c r="L21" s="160">
        <f t="shared" ref="L21:L73" si="8">IF(K21&lt;&gt;0,+G21-K21,0)</f>
        <v>0</v>
      </c>
      <c r="M21" s="316"/>
      <c r="N21" s="160">
        <f t="shared" si="1"/>
        <v>0</v>
      </c>
      <c r="O21" s="160">
        <f t="shared" si="2"/>
        <v>0</v>
      </c>
      <c r="P21" s="4"/>
      <c r="R21" s="1"/>
      <c r="S21" s="1"/>
      <c r="T21" s="1"/>
      <c r="U21" s="1"/>
    </row>
    <row r="22" spans="2:21">
      <c r="B22" t="str">
        <f t="shared" si="0"/>
        <v/>
      </c>
      <c r="C22" s="155">
        <f>IF(D11="","-",+C21+1)</f>
        <v>2020</v>
      </c>
      <c r="D22" s="164">
        <f>IF(F21+SUM(E$17:E21)=D$10,F21,D$10-SUM(E$17:E21))</f>
        <v>7698251.0730555337</v>
      </c>
      <c r="E22" s="162">
        <f t="shared" si="4"/>
        <v>209319.85738284502</v>
      </c>
      <c r="F22" s="161">
        <f t="shared" si="5"/>
        <v>7488931.2156726886</v>
      </c>
      <c r="G22" s="163">
        <f t="shared" si="6"/>
        <v>1101498.6793493032</v>
      </c>
      <c r="H22" s="145">
        <f t="shared" si="7"/>
        <v>1101498.6793493032</v>
      </c>
      <c r="I22" s="158">
        <f t="shared" si="3"/>
        <v>0</v>
      </c>
      <c r="J22" s="158"/>
      <c r="K22" s="316"/>
      <c r="L22" s="160">
        <f t="shared" si="8"/>
        <v>0</v>
      </c>
      <c r="M22" s="316"/>
      <c r="N22" s="160">
        <f t="shared" si="1"/>
        <v>0</v>
      </c>
      <c r="O22" s="160">
        <f t="shared" si="2"/>
        <v>0</v>
      </c>
      <c r="P22" s="4"/>
      <c r="R22" s="1"/>
      <c r="S22" s="1"/>
      <c r="T22" s="1"/>
      <c r="U22" s="1"/>
    </row>
    <row r="23" spans="2:21">
      <c r="B23" t="str">
        <f t="shared" si="0"/>
        <v/>
      </c>
      <c r="C23" s="155">
        <f>IF(D11="","-",+C22+1)</f>
        <v>2021</v>
      </c>
      <c r="D23" s="164">
        <f>IF(F22+SUM(E$17:E22)=D$10,F22,D$10-SUM(E$17:E22))</f>
        <v>7488931.2156726886</v>
      </c>
      <c r="E23" s="162">
        <f t="shared" si="4"/>
        <v>209319.85738284502</v>
      </c>
      <c r="F23" s="161">
        <f t="shared" si="5"/>
        <v>7279611.3582898434</v>
      </c>
      <c r="G23" s="163">
        <f t="shared" si="6"/>
        <v>1076905.4743394947</v>
      </c>
      <c r="H23" s="145">
        <f t="shared" si="7"/>
        <v>1076905.4743394947</v>
      </c>
      <c r="I23" s="158">
        <f t="shared" si="3"/>
        <v>0</v>
      </c>
      <c r="J23" s="158"/>
      <c r="K23" s="316"/>
      <c r="L23" s="160">
        <f t="shared" si="8"/>
        <v>0</v>
      </c>
      <c r="M23" s="316"/>
      <c r="N23" s="160">
        <f t="shared" si="1"/>
        <v>0</v>
      </c>
      <c r="O23" s="160">
        <f t="shared" si="2"/>
        <v>0</v>
      </c>
      <c r="P23" s="4"/>
      <c r="R23" s="1"/>
      <c r="S23" s="1"/>
      <c r="T23" s="1"/>
      <c r="U23" s="1"/>
    </row>
    <row r="24" spans="2:21">
      <c r="B24" t="str">
        <f t="shared" si="0"/>
        <v/>
      </c>
      <c r="C24" s="155">
        <f>IF(D11="","-",+C23+1)</f>
        <v>2022</v>
      </c>
      <c r="D24" s="164">
        <f>IF(F23+SUM(E$17:E23)=D$10,F23,D$10-SUM(E$17:E23))</f>
        <v>7279611.3582898434</v>
      </c>
      <c r="E24" s="162">
        <f t="shared" si="4"/>
        <v>209319.85738284502</v>
      </c>
      <c r="F24" s="161">
        <f t="shared" si="5"/>
        <v>7070291.5009069983</v>
      </c>
      <c r="G24" s="163">
        <f t="shared" si="6"/>
        <v>1052312.2693296862</v>
      </c>
      <c r="H24" s="145">
        <f t="shared" si="7"/>
        <v>1052312.2693296862</v>
      </c>
      <c r="I24" s="158">
        <f t="shared" si="3"/>
        <v>0</v>
      </c>
      <c r="J24" s="158"/>
      <c r="K24" s="316"/>
      <c r="L24" s="160">
        <f t="shared" si="8"/>
        <v>0</v>
      </c>
      <c r="M24" s="316"/>
      <c r="N24" s="160">
        <f t="shared" si="1"/>
        <v>0</v>
      </c>
      <c r="O24" s="160">
        <f t="shared" si="2"/>
        <v>0</v>
      </c>
      <c r="P24" s="4"/>
      <c r="R24" s="1"/>
      <c r="S24" s="1"/>
      <c r="T24" s="1"/>
      <c r="U24" s="1"/>
    </row>
    <row r="25" spans="2:21">
      <c r="B25" t="str">
        <f t="shared" si="0"/>
        <v/>
      </c>
      <c r="C25" s="155">
        <f>IF(D11="","-",+C24+1)</f>
        <v>2023</v>
      </c>
      <c r="D25" s="164">
        <f>IF(F24+SUM(E$17:E24)=D$10,F24,D$10-SUM(E$17:E24))</f>
        <v>7070291.5009069983</v>
      </c>
      <c r="E25" s="162">
        <f t="shared" si="4"/>
        <v>209319.85738284502</v>
      </c>
      <c r="F25" s="161">
        <f t="shared" si="5"/>
        <v>6860971.6435241532</v>
      </c>
      <c r="G25" s="163">
        <f t="shared" si="6"/>
        <v>1027719.0643198775</v>
      </c>
      <c r="H25" s="145">
        <f t="shared" si="7"/>
        <v>1027719.0643198775</v>
      </c>
      <c r="I25" s="158">
        <f t="shared" si="3"/>
        <v>0</v>
      </c>
      <c r="J25" s="158"/>
      <c r="K25" s="316"/>
      <c r="L25" s="160">
        <f t="shared" si="8"/>
        <v>0</v>
      </c>
      <c r="M25" s="316"/>
      <c r="N25" s="160">
        <f t="shared" si="1"/>
        <v>0</v>
      </c>
      <c r="O25" s="160">
        <f t="shared" si="2"/>
        <v>0</v>
      </c>
      <c r="P25" s="4"/>
      <c r="R25" s="1"/>
      <c r="S25" s="1"/>
      <c r="T25" s="1"/>
      <c r="U25" s="1"/>
    </row>
    <row r="26" spans="2:21">
      <c r="B26" t="str">
        <f t="shared" si="0"/>
        <v/>
      </c>
      <c r="C26" s="155">
        <f>IF(D11="","-",+C25+1)</f>
        <v>2024</v>
      </c>
      <c r="D26" s="164">
        <f>IF(F25+SUM(E$17:E25)=D$10,F25,D$10-SUM(E$17:E25))</f>
        <v>6860971.6435241532</v>
      </c>
      <c r="E26" s="162">
        <f t="shared" si="4"/>
        <v>209319.85738284502</v>
      </c>
      <c r="F26" s="161">
        <f t="shared" si="5"/>
        <v>6651651.786141308</v>
      </c>
      <c r="G26" s="163">
        <f t="shared" si="6"/>
        <v>1003125.8593100689</v>
      </c>
      <c r="H26" s="145">
        <f t="shared" si="7"/>
        <v>1003125.8593100689</v>
      </c>
      <c r="I26" s="158">
        <f t="shared" si="3"/>
        <v>0</v>
      </c>
      <c r="J26" s="158"/>
      <c r="K26" s="316"/>
      <c r="L26" s="160">
        <f t="shared" si="8"/>
        <v>0</v>
      </c>
      <c r="M26" s="316"/>
      <c r="N26" s="160">
        <f t="shared" si="1"/>
        <v>0</v>
      </c>
      <c r="O26" s="160">
        <f t="shared" si="2"/>
        <v>0</v>
      </c>
      <c r="P26" s="4"/>
      <c r="R26" s="1"/>
      <c r="S26" s="1"/>
      <c r="T26" s="1"/>
      <c r="U26" s="1"/>
    </row>
    <row r="27" spans="2:21">
      <c r="B27" t="str">
        <f t="shared" si="0"/>
        <v/>
      </c>
      <c r="C27" s="155">
        <f>IF(D11="","-",+C26+1)</f>
        <v>2025</v>
      </c>
      <c r="D27" s="164">
        <f>IF(F26+SUM(E$17:E26)=D$10,F26,D$10-SUM(E$17:E26))</f>
        <v>6651651.786141308</v>
      </c>
      <c r="E27" s="162">
        <f t="shared" si="4"/>
        <v>209319.85738284502</v>
      </c>
      <c r="F27" s="161">
        <f t="shared" si="5"/>
        <v>6442331.9287584629</v>
      </c>
      <c r="G27" s="163">
        <f t="shared" si="6"/>
        <v>978532.65430026024</v>
      </c>
      <c r="H27" s="145">
        <f t="shared" si="7"/>
        <v>978532.65430026024</v>
      </c>
      <c r="I27" s="158">
        <f t="shared" si="3"/>
        <v>0</v>
      </c>
      <c r="J27" s="158"/>
      <c r="K27" s="316"/>
      <c r="L27" s="160">
        <f t="shared" si="8"/>
        <v>0</v>
      </c>
      <c r="M27" s="316"/>
      <c r="N27" s="160">
        <f t="shared" si="1"/>
        <v>0</v>
      </c>
      <c r="O27" s="160">
        <f t="shared" si="2"/>
        <v>0</v>
      </c>
      <c r="P27" s="4"/>
      <c r="R27" s="1"/>
      <c r="S27" s="1"/>
      <c r="T27" s="1"/>
      <c r="U27" s="1"/>
    </row>
    <row r="28" spans="2:21">
      <c r="B28" t="str">
        <f t="shared" si="0"/>
        <v/>
      </c>
      <c r="C28" s="155">
        <f>IF(D11="","-",+C27+1)</f>
        <v>2026</v>
      </c>
      <c r="D28" s="164">
        <f>IF(F27+SUM(E$17:E27)=D$10,F27,D$10-SUM(E$17:E27))</f>
        <v>6442331.9287584629</v>
      </c>
      <c r="E28" s="162">
        <f t="shared" si="4"/>
        <v>209319.85738284502</v>
      </c>
      <c r="F28" s="161">
        <f t="shared" si="5"/>
        <v>6233012.0713756178</v>
      </c>
      <c r="G28" s="163">
        <f t="shared" si="6"/>
        <v>953939.44929045159</v>
      </c>
      <c r="H28" s="145">
        <f t="shared" si="7"/>
        <v>953939.44929045159</v>
      </c>
      <c r="I28" s="158">
        <f t="shared" si="3"/>
        <v>0</v>
      </c>
      <c r="J28" s="158"/>
      <c r="K28" s="316"/>
      <c r="L28" s="160">
        <f t="shared" si="8"/>
        <v>0</v>
      </c>
      <c r="M28" s="316"/>
      <c r="N28" s="160">
        <f t="shared" si="1"/>
        <v>0</v>
      </c>
      <c r="O28" s="160">
        <f t="shared" si="2"/>
        <v>0</v>
      </c>
      <c r="P28" s="4"/>
      <c r="R28" s="1"/>
      <c r="S28" s="1"/>
      <c r="T28" s="1"/>
      <c r="U28" s="1"/>
    </row>
    <row r="29" spans="2:21">
      <c r="B29" t="str">
        <f t="shared" si="0"/>
        <v/>
      </c>
      <c r="C29" s="155">
        <f>IF(D11="","-",+C28+1)</f>
        <v>2027</v>
      </c>
      <c r="D29" s="164">
        <f>IF(F28+SUM(E$17:E28)=D$10,F28,D$10-SUM(E$17:E28))</f>
        <v>6233012.0713756178</v>
      </c>
      <c r="E29" s="162">
        <f t="shared" si="4"/>
        <v>209319.85738284502</v>
      </c>
      <c r="F29" s="161">
        <f t="shared" si="5"/>
        <v>6023692.2139927726</v>
      </c>
      <c r="G29" s="163">
        <f t="shared" si="6"/>
        <v>929346.24428064295</v>
      </c>
      <c r="H29" s="145">
        <f t="shared" si="7"/>
        <v>929346.24428064295</v>
      </c>
      <c r="I29" s="158">
        <f t="shared" si="3"/>
        <v>0</v>
      </c>
      <c r="J29" s="158"/>
      <c r="K29" s="316"/>
      <c r="L29" s="160">
        <f t="shared" si="8"/>
        <v>0</v>
      </c>
      <c r="M29" s="316"/>
      <c r="N29" s="160">
        <f t="shared" si="1"/>
        <v>0</v>
      </c>
      <c r="O29" s="160">
        <f t="shared" si="2"/>
        <v>0</v>
      </c>
      <c r="P29" s="4"/>
      <c r="R29" s="1"/>
      <c r="S29" s="1"/>
      <c r="T29" s="1"/>
      <c r="U29" s="1"/>
    </row>
    <row r="30" spans="2:21">
      <c r="B30" t="str">
        <f t="shared" si="0"/>
        <v/>
      </c>
      <c r="C30" s="155">
        <f>IF(D11="","-",+C29+1)</f>
        <v>2028</v>
      </c>
      <c r="D30" s="164">
        <f>IF(F29+SUM(E$17:E29)=D$10,F29,D$10-SUM(E$17:E29))</f>
        <v>6023692.2139927726</v>
      </c>
      <c r="E30" s="162">
        <f t="shared" si="4"/>
        <v>209319.85738284502</v>
      </c>
      <c r="F30" s="161">
        <f t="shared" si="5"/>
        <v>5814372.3566099275</v>
      </c>
      <c r="G30" s="163">
        <f t="shared" si="6"/>
        <v>904753.03927083442</v>
      </c>
      <c r="H30" s="145">
        <f t="shared" si="7"/>
        <v>904753.03927083442</v>
      </c>
      <c r="I30" s="158">
        <f t="shared" si="3"/>
        <v>0</v>
      </c>
      <c r="J30" s="158"/>
      <c r="K30" s="316"/>
      <c r="L30" s="160">
        <f t="shared" si="8"/>
        <v>0</v>
      </c>
      <c r="M30" s="316"/>
      <c r="N30" s="160">
        <f t="shared" si="1"/>
        <v>0</v>
      </c>
      <c r="O30" s="160">
        <f t="shared" si="2"/>
        <v>0</v>
      </c>
      <c r="P30" s="4"/>
      <c r="R30" s="1"/>
      <c r="S30" s="1"/>
      <c r="T30" s="1"/>
      <c r="U30" s="1"/>
    </row>
    <row r="31" spans="2:21">
      <c r="B31" t="str">
        <f>IF(D31=F30,"","IU")</f>
        <v/>
      </c>
      <c r="C31" s="155">
        <f>IF(D11="","-",+C30+1)</f>
        <v>2029</v>
      </c>
      <c r="D31" s="164">
        <f>IF(F30+SUM(E$17:E30)=D$10,F30,D$10-SUM(E$17:E30))</f>
        <v>5814372.3566099275</v>
      </c>
      <c r="E31" s="162">
        <f t="shared" si="4"/>
        <v>209319.85738284502</v>
      </c>
      <c r="F31" s="161">
        <f t="shared" si="5"/>
        <v>5605052.4992270824</v>
      </c>
      <c r="G31" s="163">
        <f t="shared" si="6"/>
        <v>880159.83426102577</v>
      </c>
      <c r="H31" s="145">
        <f t="shared" si="7"/>
        <v>880159.83426102577</v>
      </c>
      <c r="I31" s="158">
        <f t="shared" si="3"/>
        <v>0</v>
      </c>
      <c r="J31" s="158"/>
      <c r="K31" s="316"/>
      <c r="L31" s="160">
        <f t="shared" si="8"/>
        <v>0</v>
      </c>
      <c r="M31" s="316"/>
      <c r="N31" s="160">
        <f t="shared" si="1"/>
        <v>0</v>
      </c>
      <c r="O31" s="160">
        <f t="shared" si="2"/>
        <v>0</v>
      </c>
      <c r="P31" s="4"/>
      <c r="Q31" s="7"/>
      <c r="R31" s="4"/>
      <c r="S31" s="4"/>
      <c r="T31" s="4"/>
      <c r="U31" s="1"/>
    </row>
    <row r="32" spans="2:21">
      <c r="B32" t="str">
        <f t="shared" ref="B32:B46" si="9">IF(D32=F31,"","IU")</f>
        <v/>
      </c>
      <c r="C32" s="155">
        <f>IF(D12="","-",+C31+1)</f>
        <v>2030</v>
      </c>
      <c r="D32" s="164">
        <f>IF(F31+SUM(E$17:E31)=D$10,F31,D$10-SUM(E$17:E31))</f>
        <v>5605052.4992270824</v>
      </c>
      <c r="E32" s="162">
        <f>IF(+$I$14&lt;F31,$I$14,D32)</f>
        <v>209319.85738284502</v>
      </c>
      <c r="F32" s="161">
        <f>+D32-E32</f>
        <v>5395732.6418442372</v>
      </c>
      <c r="G32" s="163">
        <f t="shared" si="6"/>
        <v>855566.62925121712</v>
      </c>
      <c r="H32" s="145">
        <f t="shared" si="7"/>
        <v>855566.62925121712</v>
      </c>
      <c r="I32" s="158">
        <f>H32-G32</f>
        <v>0</v>
      </c>
      <c r="J32" s="158"/>
      <c r="K32" s="316"/>
      <c r="L32" s="160">
        <f>IF(K32&lt;&gt;0,+G32-K32,0)</f>
        <v>0</v>
      </c>
      <c r="M32" s="316"/>
      <c r="N32" s="160">
        <f>IF(M32&lt;&gt;0,+H32-M32,0)</f>
        <v>0</v>
      </c>
      <c r="O32" s="160">
        <f>+N32-L32</f>
        <v>0</v>
      </c>
      <c r="P32" s="4"/>
      <c r="Q32" s="7"/>
      <c r="R32" s="4"/>
      <c r="S32" s="4"/>
      <c r="T32" s="4"/>
      <c r="U32" s="1"/>
    </row>
    <row r="33" spans="2:21">
      <c r="B33" t="str">
        <f t="shared" si="9"/>
        <v/>
      </c>
      <c r="C33" s="155">
        <f>IF(D13="","-",+C32+1)</f>
        <v>2031</v>
      </c>
      <c r="D33" s="164">
        <f>IF(F32+SUM(E$17:E32)=D$10,F32,D$10-SUM(E$17:E32))</f>
        <v>5395732.6418442372</v>
      </c>
      <c r="E33" s="162">
        <f>IF(+$I$14&lt;F32,$I$14,D33)</f>
        <v>209319.85738284502</v>
      </c>
      <c r="F33" s="161">
        <f>+D33-E33</f>
        <v>5186412.7844613921</v>
      </c>
      <c r="G33" s="163">
        <f t="shared" si="6"/>
        <v>830973.42424140847</v>
      </c>
      <c r="H33" s="145">
        <f t="shared" si="7"/>
        <v>830973.42424140847</v>
      </c>
      <c r="I33" s="158">
        <f>H33-G33</f>
        <v>0</v>
      </c>
      <c r="J33" s="158"/>
      <c r="K33" s="316"/>
      <c r="L33" s="160">
        <f>IF(K33&lt;&gt;0,+G33-K33,0)</f>
        <v>0</v>
      </c>
      <c r="M33" s="316"/>
      <c r="N33" s="160">
        <f>IF(M33&lt;&gt;0,+H33-M33,0)</f>
        <v>0</v>
      </c>
      <c r="O33" s="160">
        <f>+N33-L33</f>
        <v>0</v>
      </c>
      <c r="P33" s="4"/>
      <c r="R33" s="1"/>
      <c r="S33" s="1"/>
      <c r="T33" s="1"/>
      <c r="U33" s="1"/>
    </row>
    <row r="34" spans="2:21">
      <c r="B34" t="str">
        <f t="shared" si="9"/>
        <v/>
      </c>
      <c r="C34" s="155">
        <f t="shared" ref="C34:C42" si="10">IF(D14="","-",+C33+1)</f>
        <v>2032</v>
      </c>
      <c r="D34" s="431">
        <f>IF(F33+SUM(E$17:E33)=D$10,F33,D$10-SUM(E$17:E33))</f>
        <v>5186412.7844613921</v>
      </c>
      <c r="E34" s="424">
        <f t="shared" si="4"/>
        <v>209319.85738284502</v>
      </c>
      <c r="F34" s="423">
        <f t="shared" si="5"/>
        <v>4977092.927078547</v>
      </c>
      <c r="G34" s="163">
        <f t="shared" si="6"/>
        <v>806380.21923159994</v>
      </c>
      <c r="H34" s="145">
        <f t="shared" si="7"/>
        <v>806380.21923159994</v>
      </c>
      <c r="I34" s="427">
        <f t="shared" si="3"/>
        <v>0</v>
      </c>
      <c r="J34" s="427"/>
      <c r="K34" s="428"/>
      <c r="L34" s="429">
        <f t="shared" si="8"/>
        <v>0</v>
      </c>
      <c r="M34" s="428"/>
      <c r="N34" s="429">
        <f t="shared" si="1"/>
        <v>0</v>
      </c>
      <c r="O34" s="429">
        <f t="shared" si="2"/>
        <v>0</v>
      </c>
      <c r="P34" s="430"/>
      <c r="Q34" s="290"/>
      <c r="R34" s="430"/>
      <c r="S34" s="430"/>
      <c r="T34" s="430"/>
      <c r="U34" s="1"/>
    </row>
    <row r="35" spans="2:21">
      <c r="B35" t="str">
        <f t="shared" si="9"/>
        <v/>
      </c>
      <c r="C35" s="155">
        <f t="shared" si="10"/>
        <v>2033</v>
      </c>
      <c r="D35" s="164">
        <f>IF(F34+SUM(E$17:E34)=D$10,F34,D$10-SUM(E$17:E34))</f>
        <v>4977092.927078547</v>
      </c>
      <c r="E35" s="162">
        <f t="shared" si="4"/>
        <v>209319.85738284502</v>
      </c>
      <c r="F35" s="161">
        <f t="shared" si="5"/>
        <v>4767773.0696957018</v>
      </c>
      <c r="G35" s="163">
        <f t="shared" si="6"/>
        <v>781787.01422179129</v>
      </c>
      <c r="H35" s="145">
        <f t="shared" si="7"/>
        <v>781787.01422179129</v>
      </c>
      <c r="I35" s="158">
        <f t="shared" si="3"/>
        <v>0</v>
      </c>
      <c r="J35" s="158"/>
      <c r="K35" s="316"/>
      <c r="L35" s="160">
        <f t="shared" si="8"/>
        <v>0</v>
      </c>
      <c r="M35" s="316"/>
      <c r="N35" s="160">
        <f t="shared" si="1"/>
        <v>0</v>
      </c>
      <c r="O35" s="160">
        <f t="shared" si="2"/>
        <v>0</v>
      </c>
      <c r="P35" s="4"/>
      <c r="R35" s="1"/>
      <c r="S35" s="1"/>
      <c r="T35" s="1"/>
      <c r="U35" s="1"/>
    </row>
    <row r="36" spans="2:21">
      <c r="B36" t="str">
        <f t="shared" si="9"/>
        <v/>
      </c>
      <c r="C36" s="155">
        <f t="shared" si="10"/>
        <v>2034</v>
      </c>
      <c r="D36" s="164">
        <f>IF(F35+SUM(E$17:E35)=D$10,F35,D$10-SUM(E$17:E35))</f>
        <v>4767773.0696957018</v>
      </c>
      <c r="E36" s="162">
        <f t="shared" si="4"/>
        <v>209319.85738284502</v>
      </c>
      <c r="F36" s="161">
        <f t="shared" si="5"/>
        <v>4558453.2123128567</v>
      </c>
      <c r="G36" s="163">
        <f t="shared" si="6"/>
        <v>757193.80921198265</v>
      </c>
      <c r="H36" s="145">
        <f t="shared" si="7"/>
        <v>757193.80921198265</v>
      </c>
      <c r="I36" s="158">
        <f t="shared" si="3"/>
        <v>0</v>
      </c>
      <c r="J36" s="158"/>
      <c r="K36" s="316"/>
      <c r="L36" s="160">
        <f t="shared" si="8"/>
        <v>0</v>
      </c>
      <c r="M36" s="316"/>
      <c r="N36" s="160">
        <f t="shared" si="1"/>
        <v>0</v>
      </c>
      <c r="O36" s="160">
        <f t="shared" si="2"/>
        <v>0</v>
      </c>
      <c r="P36" s="4"/>
      <c r="R36" s="1"/>
      <c r="S36" s="1"/>
      <c r="T36" s="1"/>
      <c r="U36" s="1"/>
    </row>
    <row r="37" spans="2:21">
      <c r="B37" t="str">
        <f t="shared" si="9"/>
        <v/>
      </c>
      <c r="C37" s="155">
        <f t="shared" si="10"/>
        <v>2035</v>
      </c>
      <c r="D37" s="164">
        <f>IF(F36+SUM(E$17:E36)=D$10,F36,D$10-SUM(E$17:E36))</f>
        <v>4558453.2123128567</v>
      </c>
      <c r="E37" s="162">
        <f t="shared" si="4"/>
        <v>209319.85738284502</v>
      </c>
      <c r="F37" s="161">
        <f t="shared" si="5"/>
        <v>4349133.3549300116</v>
      </c>
      <c r="G37" s="163">
        <f t="shared" si="6"/>
        <v>732600.60420217412</v>
      </c>
      <c r="H37" s="145">
        <f t="shared" si="7"/>
        <v>732600.60420217412</v>
      </c>
      <c r="I37" s="158">
        <f t="shared" si="3"/>
        <v>0</v>
      </c>
      <c r="J37" s="158"/>
      <c r="K37" s="316"/>
      <c r="L37" s="160">
        <f t="shared" si="8"/>
        <v>0</v>
      </c>
      <c r="M37" s="316"/>
      <c r="N37" s="160">
        <f t="shared" si="1"/>
        <v>0</v>
      </c>
      <c r="O37" s="160">
        <f t="shared" si="2"/>
        <v>0</v>
      </c>
      <c r="P37" s="4"/>
      <c r="R37" s="1"/>
      <c r="S37" s="1"/>
      <c r="T37" s="1"/>
      <c r="U37" s="1"/>
    </row>
    <row r="38" spans="2:21">
      <c r="B38" t="str">
        <f t="shared" si="9"/>
        <v/>
      </c>
      <c r="C38" s="155">
        <f t="shared" si="10"/>
        <v>2036</v>
      </c>
      <c r="D38" s="164">
        <f>IF(F37+SUM(E$17:E37)=D$10,F37,D$10-SUM(E$17:E37))</f>
        <v>4349133.3549300116</v>
      </c>
      <c r="E38" s="162">
        <f t="shared" si="4"/>
        <v>209319.85738284502</v>
      </c>
      <c r="F38" s="161">
        <f t="shared" si="5"/>
        <v>4139813.4975471664</v>
      </c>
      <c r="G38" s="163">
        <f t="shared" si="6"/>
        <v>708007.39919236535</v>
      </c>
      <c r="H38" s="145">
        <f t="shared" si="7"/>
        <v>708007.39919236535</v>
      </c>
      <c r="I38" s="158">
        <f t="shared" si="3"/>
        <v>0</v>
      </c>
      <c r="J38" s="158"/>
      <c r="K38" s="316"/>
      <c r="L38" s="160">
        <f t="shared" si="8"/>
        <v>0</v>
      </c>
      <c r="M38" s="316"/>
      <c r="N38" s="160">
        <f t="shared" si="1"/>
        <v>0</v>
      </c>
      <c r="O38" s="160">
        <f t="shared" si="2"/>
        <v>0</v>
      </c>
      <c r="P38" s="4"/>
      <c r="R38" s="1"/>
      <c r="S38" s="1"/>
      <c r="T38" s="1"/>
      <c r="U38" s="1"/>
    </row>
    <row r="39" spans="2:21">
      <c r="B39" t="str">
        <f t="shared" si="9"/>
        <v/>
      </c>
      <c r="C39" s="155">
        <f t="shared" si="10"/>
        <v>2037</v>
      </c>
      <c r="D39" s="164">
        <f>IF(F38+SUM(E$17:E38)=D$10,F38,D$10-SUM(E$17:E38))</f>
        <v>4139813.4975471664</v>
      </c>
      <c r="E39" s="162">
        <f t="shared" si="4"/>
        <v>209319.85738284502</v>
      </c>
      <c r="F39" s="161">
        <f t="shared" si="5"/>
        <v>3930493.6401643213</v>
      </c>
      <c r="G39" s="163">
        <f t="shared" si="6"/>
        <v>683414.19418255682</v>
      </c>
      <c r="H39" s="145">
        <f t="shared" si="7"/>
        <v>683414.19418255682</v>
      </c>
      <c r="I39" s="158">
        <f t="shared" si="3"/>
        <v>0</v>
      </c>
      <c r="J39" s="158"/>
      <c r="K39" s="316"/>
      <c r="L39" s="160">
        <f t="shared" si="8"/>
        <v>0</v>
      </c>
      <c r="M39" s="316"/>
      <c r="N39" s="160">
        <f t="shared" si="1"/>
        <v>0</v>
      </c>
      <c r="O39" s="160">
        <f t="shared" si="2"/>
        <v>0</v>
      </c>
      <c r="P39" s="4"/>
      <c r="R39" s="1"/>
      <c r="S39" s="1"/>
      <c r="T39" s="1"/>
      <c r="U39" s="1"/>
    </row>
    <row r="40" spans="2:21">
      <c r="B40" t="str">
        <f t="shared" si="9"/>
        <v/>
      </c>
      <c r="C40" s="155">
        <f t="shared" si="10"/>
        <v>2038</v>
      </c>
      <c r="D40" s="164">
        <f>IF(F39+SUM(E$17:E39)=D$10,F39,D$10-SUM(E$17:E39))</f>
        <v>3930493.6401643213</v>
      </c>
      <c r="E40" s="162">
        <f t="shared" si="4"/>
        <v>209319.85738284502</v>
      </c>
      <c r="F40" s="161">
        <f t="shared" si="5"/>
        <v>3721173.7827814762</v>
      </c>
      <c r="G40" s="163">
        <f t="shared" si="6"/>
        <v>658820.98917274817</v>
      </c>
      <c r="H40" s="145">
        <f t="shared" si="7"/>
        <v>658820.98917274817</v>
      </c>
      <c r="I40" s="158">
        <f t="shared" si="3"/>
        <v>0</v>
      </c>
      <c r="J40" s="158"/>
      <c r="K40" s="316"/>
      <c r="L40" s="160">
        <f t="shared" si="8"/>
        <v>0</v>
      </c>
      <c r="M40" s="316"/>
      <c r="N40" s="160">
        <f t="shared" si="1"/>
        <v>0</v>
      </c>
      <c r="O40" s="160">
        <f t="shared" si="2"/>
        <v>0</v>
      </c>
      <c r="P40" s="4"/>
      <c r="R40" s="1"/>
      <c r="S40" s="1"/>
      <c r="T40" s="1"/>
      <c r="U40" s="1"/>
    </row>
    <row r="41" spans="2:21">
      <c r="B41" t="str">
        <f t="shared" si="9"/>
        <v/>
      </c>
      <c r="C41" s="155">
        <f t="shared" si="10"/>
        <v>2039</v>
      </c>
      <c r="D41" s="164">
        <f>IF(F40+SUM(E$17:E40)=D$10,F40,D$10-SUM(E$17:E40))</f>
        <v>3721173.7827814762</v>
      </c>
      <c r="E41" s="162">
        <f t="shared" si="4"/>
        <v>209319.85738284502</v>
      </c>
      <c r="F41" s="161">
        <f t="shared" si="5"/>
        <v>3511853.925398631</v>
      </c>
      <c r="G41" s="163">
        <f t="shared" si="6"/>
        <v>634227.78416293953</v>
      </c>
      <c r="H41" s="145">
        <f t="shared" si="7"/>
        <v>634227.78416293953</v>
      </c>
      <c r="I41" s="158">
        <f t="shared" si="3"/>
        <v>0</v>
      </c>
      <c r="J41" s="158"/>
      <c r="K41" s="316"/>
      <c r="L41" s="160">
        <f t="shared" si="8"/>
        <v>0</v>
      </c>
      <c r="M41" s="316"/>
      <c r="N41" s="160">
        <f t="shared" si="1"/>
        <v>0</v>
      </c>
      <c r="O41" s="160">
        <f t="shared" si="2"/>
        <v>0</v>
      </c>
      <c r="P41" s="4"/>
      <c r="R41" s="1"/>
      <c r="S41" s="1"/>
      <c r="T41" s="1"/>
      <c r="U41" s="1"/>
    </row>
    <row r="42" spans="2:21">
      <c r="B42" t="str">
        <f t="shared" si="9"/>
        <v/>
      </c>
      <c r="C42" s="155">
        <f t="shared" si="10"/>
        <v>2040</v>
      </c>
      <c r="D42" s="164">
        <f>IF(F41+SUM(E$17:E41)=D$10,F41,D$10-SUM(E$17:E41))</f>
        <v>3511853.925398631</v>
      </c>
      <c r="E42" s="162">
        <f t="shared" si="4"/>
        <v>209319.85738284502</v>
      </c>
      <c r="F42" s="161">
        <f t="shared" si="5"/>
        <v>3302534.0680157859</v>
      </c>
      <c r="G42" s="163">
        <f t="shared" si="6"/>
        <v>609634.579153131</v>
      </c>
      <c r="H42" s="145">
        <f t="shared" si="7"/>
        <v>609634.579153131</v>
      </c>
      <c r="I42" s="158">
        <f t="shared" si="3"/>
        <v>0</v>
      </c>
      <c r="J42" s="158"/>
      <c r="K42" s="316"/>
      <c r="L42" s="160">
        <f t="shared" si="8"/>
        <v>0</v>
      </c>
      <c r="M42" s="316"/>
      <c r="N42" s="160">
        <f t="shared" si="1"/>
        <v>0</v>
      </c>
      <c r="O42" s="160">
        <f t="shared" si="2"/>
        <v>0</v>
      </c>
      <c r="P42" s="4"/>
      <c r="R42" s="1"/>
      <c r="S42" s="1"/>
      <c r="T42" s="1"/>
      <c r="U42" s="1"/>
    </row>
    <row r="43" spans="2:21">
      <c r="B43" t="str">
        <f t="shared" si="9"/>
        <v/>
      </c>
      <c r="C43" s="155">
        <f>IF(D11="","-",+C42+1)</f>
        <v>2041</v>
      </c>
      <c r="D43" s="164">
        <f>IF(F42+SUM(E$17:E42)=D$10,F42,D$10-SUM(E$17:E42))</f>
        <v>3302534.0680157859</v>
      </c>
      <c r="E43" s="162">
        <f t="shared" si="4"/>
        <v>209319.85738284502</v>
      </c>
      <c r="F43" s="161">
        <f t="shared" si="5"/>
        <v>3093214.2106329408</v>
      </c>
      <c r="G43" s="163">
        <f t="shared" si="6"/>
        <v>585041.37414332223</v>
      </c>
      <c r="H43" s="145">
        <f t="shared" si="7"/>
        <v>585041.37414332223</v>
      </c>
      <c r="I43" s="158">
        <f t="shared" si="3"/>
        <v>0</v>
      </c>
      <c r="J43" s="158"/>
      <c r="K43" s="316"/>
      <c r="L43" s="160">
        <f t="shared" si="8"/>
        <v>0</v>
      </c>
      <c r="M43" s="316"/>
      <c r="N43" s="160">
        <f t="shared" si="1"/>
        <v>0</v>
      </c>
      <c r="O43" s="160">
        <f t="shared" si="2"/>
        <v>0</v>
      </c>
      <c r="P43" s="4"/>
      <c r="R43" s="1"/>
      <c r="S43" s="1"/>
      <c r="T43" s="1"/>
      <c r="U43" s="1"/>
    </row>
    <row r="44" spans="2:21">
      <c r="B44" t="str">
        <f t="shared" si="9"/>
        <v/>
      </c>
      <c r="C44" s="155">
        <f>IF(D11="","-",+C43+1)</f>
        <v>2042</v>
      </c>
      <c r="D44" s="164">
        <f>IF(F43+SUM(E$17:E43)=D$10,F43,D$10-SUM(E$17:E43))</f>
        <v>3093214.2106329408</v>
      </c>
      <c r="E44" s="162">
        <f t="shared" si="4"/>
        <v>209319.85738284502</v>
      </c>
      <c r="F44" s="161">
        <f t="shared" si="5"/>
        <v>2883894.3532500956</v>
      </c>
      <c r="G44" s="163">
        <f t="shared" si="6"/>
        <v>560448.1691335137</v>
      </c>
      <c r="H44" s="145">
        <f t="shared" si="7"/>
        <v>560448.1691335137</v>
      </c>
      <c r="I44" s="158">
        <f t="shared" si="3"/>
        <v>0</v>
      </c>
      <c r="J44" s="158"/>
      <c r="K44" s="316"/>
      <c r="L44" s="160">
        <f t="shared" si="8"/>
        <v>0</v>
      </c>
      <c r="M44" s="316"/>
      <c r="N44" s="160">
        <f t="shared" si="1"/>
        <v>0</v>
      </c>
      <c r="O44" s="160">
        <f t="shared" si="2"/>
        <v>0</v>
      </c>
      <c r="P44" s="4"/>
      <c r="R44" s="1"/>
      <c r="S44" s="1"/>
      <c r="T44" s="1"/>
      <c r="U44" s="1"/>
    </row>
    <row r="45" spans="2:21">
      <c r="B45" t="str">
        <f t="shared" si="9"/>
        <v/>
      </c>
      <c r="C45" s="155">
        <f>IF(D11="","-",+C44+1)</f>
        <v>2043</v>
      </c>
      <c r="D45" s="164">
        <f>IF(F44+SUM(E$17:E44)=D$10,F44,D$10-SUM(E$17:E44))</f>
        <v>2883894.3532500956</v>
      </c>
      <c r="E45" s="162">
        <f t="shared" si="4"/>
        <v>209319.85738284502</v>
      </c>
      <c r="F45" s="161">
        <f t="shared" si="5"/>
        <v>2674574.4958672505</v>
      </c>
      <c r="G45" s="163">
        <f t="shared" si="6"/>
        <v>535854.96412370505</v>
      </c>
      <c r="H45" s="145">
        <f t="shared" si="7"/>
        <v>535854.96412370505</v>
      </c>
      <c r="I45" s="158">
        <f t="shared" si="3"/>
        <v>0</v>
      </c>
      <c r="J45" s="158"/>
      <c r="K45" s="316"/>
      <c r="L45" s="160">
        <f t="shared" si="8"/>
        <v>0</v>
      </c>
      <c r="M45" s="316"/>
      <c r="N45" s="160">
        <f t="shared" si="1"/>
        <v>0</v>
      </c>
      <c r="O45" s="160">
        <f t="shared" si="2"/>
        <v>0</v>
      </c>
      <c r="P45" s="4"/>
      <c r="R45" s="1"/>
      <c r="S45" s="1"/>
      <c r="T45" s="1"/>
      <c r="U45" s="1"/>
    </row>
    <row r="46" spans="2:21">
      <c r="B46" t="str">
        <f t="shared" si="9"/>
        <v/>
      </c>
      <c r="C46" s="155">
        <f>IF(D11="","-",+C45+1)</f>
        <v>2044</v>
      </c>
      <c r="D46" s="164">
        <f>IF(F45+SUM(E$17:E45)=D$10,F45,D$10-SUM(E$17:E45))</f>
        <v>2674574.4958672505</v>
      </c>
      <c r="E46" s="162">
        <f t="shared" si="4"/>
        <v>209319.85738284502</v>
      </c>
      <c r="F46" s="161">
        <f t="shared" si="5"/>
        <v>2465254.6384844054</v>
      </c>
      <c r="G46" s="163">
        <f t="shared" si="6"/>
        <v>511261.75911389646</v>
      </c>
      <c r="H46" s="145">
        <f t="shared" si="7"/>
        <v>511261.75911389646</v>
      </c>
      <c r="I46" s="158">
        <f t="shared" si="3"/>
        <v>0</v>
      </c>
      <c r="J46" s="158"/>
      <c r="K46" s="316"/>
      <c r="L46" s="160">
        <f t="shared" si="8"/>
        <v>0</v>
      </c>
      <c r="M46" s="316"/>
      <c r="N46" s="160">
        <f t="shared" si="1"/>
        <v>0</v>
      </c>
      <c r="O46" s="160">
        <f t="shared" si="2"/>
        <v>0</v>
      </c>
      <c r="P46" s="4"/>
      <c r="R46" s="1"/>
      <c r="S46" s="1"/>
      <c r="T46" s="1"/>
      <c r="U46" s="1"/>
    </row>
    <row r="47" spans="2:21">
      <c r="B47" t="str">
        <f t="shared" si="0"/>
        <v/>
      </c>
      <c r="C47" s="155">
        <f>IF(D11="","-",+C46+1)</f>
        <v>2045</v>
      </c>
      <c r="D47" s="164">
        <f>IF(F46+SUM(E$17:E46)=D$10,F46,D$10-SUM(E$17:E46))</f>
        <v>2465254.6384844054</v>
      </c>
      <c r="E47" s="162">
        <f t="shared" si="4"/>
        <v>209319.85738284502</v>
      </c>
      <c r="F47" s="161">
        <f t="shared" si="5"/>
        <v>2255934.7811015602</v>
      </c>
      <c r="G47" s="163">
        <f t="shared" si="6"/>
        <v>486668.55410408782</v>
      </c>
      <c r="H47" s="145">
        <f t="shared" si="7"/>
        <v>486668.55410408782</v>
      </c>
      <c r="I47" s="158">
        <f t="shared" si="3"/>
        <v>0</v>
      </c>
      <c r="J47" s="158"/>
      <c r="K47" s="316"/>
      <c r="L47" s="160">
        <f t="shared" si="8"/>
        <v>0</v>
      </c>
      <c r="M47" s="316"/>
      <c r="N47" s="160">
        <f t="shared" si="1"/>
        <v>0</v>
      </c>
      <c r="O47" s="160">
        <f t="shared" si="2"/>
        <v>0</v>
      </c>
      <c r="P47" s="4"/>
      <c r="R47" s="1"/>
      <c r="S47" s="1"/>
      <c r="T47" s="1"/>
      <c r="U47" s="1"/>
    </row>
    <row r="48" spans="2:21">
      <c r="B48" t="str">
        <f t="shared" si="0"/>
        <v/>
      </c>
      <c r="C48" s="155">
        <f>IF(D11="","-",+C47+1)</f>
        <v>2046</v>
      </c>
      <c r="D48" s="164">
        <f>IF(F47+SUM(E$17:E47)=D$10,F47,D$10-SUM(E$17:E47))</f>
        <v>2255934.7811015602</v>
      </c>
      <c r="E48" s="162">
        <f t="shared" si="4"/>
        <v>209319.85738284502</v>
      </c>
      <c r="F48" s="161">
        <f t="shared" si="5"/>
        <v>2046614.9237187151</v>
      </c>
      <c r="G48" s="163">
        <f t="shared" si="6"/>
        <v>462075.34909427923</v>
      </c>
      <c r="H48" s="145">
        <f t="shared" si="7"/>
        <v>462075.34909427923</v>
      </c>
      <c r="I48" s="158">
        <f t="shared" si="3"/>
        <v>0</v>
      </c>
      <c r="J48" s="158"/>
      <c r="K48" s="316"/>
      <c r="L48" s="160">
        <f t="shared" si="8"/>
        <v>0</v>
      </c>
      <c r="M48" s="316"/>
      <c r="N48" s="160">
        <f t="shared" si="1"/>
        <v>0</v>
      </c>
      <c r="O48" s="160">
        <f t="shared" si="2"/>
        <v>0</v>
      </c>
      <c r="P48" s="4"/>
      <c r="R48" s="1"/>
      <c r="S48" s="1"/>
      <c r="T48" s="1"/>
      <c r="U48" s="1"/>
    </row>
    <row r="49" spans="2:21">
      <c r="B49" t="str">
        <f t="shared" si="0"/>
        <v/>
      </c>
      <c r="C49" s="155">
        <f>IF(D11="","-",+C48+1)</f>
        <v>2047</v>
      </c>
      <c r="D49" s="164">
        <f>IF(F48+SUM(E$17:E48)=D$10,F48,D$10-SUM(E$17:E48))</f>
        <v>2046614.9237187151</v>
      </c>
      <c r="E49" s="162">
        <f t="shared" si="4"/>
        <v>209319.85738284502</v>
      </c>
      <c r="F49" s="161">
        <f t="shared" si="5"/>
        <v>1837295.06633587</v>
      </c>
      <c r="G49" s="163">
        <f t="shared" si="6"/>
        <v>437482.14408447058</v>
      </c>
      <c r="H49" s="145">
        <f t="shared" si="7"/>
        <v>437482.14408447058</v>
      </c>
      <c r="I49" s="158">
        <f t="shared" si="3"/>
        <v>0</v>
      </c>
      <c r="J49" s="158"/>
      <c r="K49" s="316"/>
      <c r="L49" s="160">
        <f t="shared" si="8"/>
        <v>0</v>
      </c>
      <c r="M49" s="316"/>
      <c r="N49" s="160">
        <f t="shared" si="1"/>
        <v>0</v>
      </c>
      <c r="O49" s="160">
        <f t="shared" si="2"/>
        <v>0</v>
      </c>
      <c r="P49" s="4"/>
      <c r="R49" s="1"/>
      <c r="S49" s="1"/>
      <c r="T49" s="1"/>
      <c r="U49" s="1"/>
    </row>
    <row r="50" spans="2:21">
      <c r="B50" t="str">
        <f t="shared" si="0"/>
        <v/>
      </c>
      <c r="C50" s="155">
        <f>IF(D11="","-",+C49+1)</f>
        <v>2048</v>
      </c>
      <c r="D50" s="164">
        <f>IF(F49+SUM(E$17:E49)=D$10,F49,D$10-SUM(E$17:E49))</f>
        <v>1837295.06633587</v>
      </c>
      <c r="E50" s="162">
        <f t="shared" si="4"/>
        <v>209319.85738284502</v>
      </c>
      <c r="F50" s="161">
        <f t="shared" si="5"/>
        <v>1627975.2089530248</v>
      </c>
      <c r="G50" s="163">
        <f t="shared" si="6"/>
        <v>412888.93907466193</v>
      </c>
      <c r="H50" s="145">
        <f t="shared" si="7"/>
        <v>412888.93907466193</v>
      </c>
      <c r="I50" s="158">
        <f t="shared" si="3"/>
        <v>0</v>
      </c>
      <c r="J50" s="158"/>
      <c r="K50" s="316"/>
      <c r="L50" s="160">
        <f t="shared" si="8"/>
        <v>0</v>
      </c>
      <c r="M50" s="316"/>
      <c r="N50" s="160">
        <f t="shared" si="1"/>
        <v>0</v>
      </c>
      <c r="O50" s="160">
        <f t="shared" si="2"/>
        <v>0</v>
      </c>
      <c r="P50" s="4"/>
      <c r="R50" s="1"/>
      <c r="S50" s="1"/>
      <c r="T50" s="1"/>
      <c r="U50" s="1"/>
    </row>
    <row r="51" spans="2:21">
      <c r="B51" t="str">
        <f t="shared" si="0"/>
        <v/>
      </c>
      <c r="C51" s="155">
        <f>IF(D11="","-",+C50+1)</f>
        <v>2049</v>
      </c>
      <c r="D51" s="164">
        <f>IF(F50+SUM(E$17:E50)=D$10,F50,D$10-SUM(E$17:E50))</f>
        <v>1627975.2089530248</v>
      </c>
      <c r="E51" s="162">
        <f t="shared" si="4"/>
        <v>209319.85738284502</v>
      </c>
      <c r="F51" s="161">
        <f t="shared" si="5"/>
        <v>1418655.3515701797</v>
      </c>
      <c r="G51" s="163">
        <f t="shared" si="6"/>
        <v>388295.73406485334</v>
      </c>
      <c r="H51" s="145">
        <f t="shared" si="7"/>
        <v>388295.73406485334</v>
      </c>
      <c r="I51" s="158">
        <f t="shared" si="3"/>
        <v>0</v>
      </c>
      <c r="J51" s="158"/>
      <c r="K51" s="316"/>
      <c r="L51" s="160">
        <f t="shared" si="8"/>
        <v>0</v>
      </c>
      <c r="M51" s="316"/>
      <c r="N51" s="160">
        <f t="shared" si="1"/>
        <v>0</v>
      </c>
      <c r="O51" s="160">
        <f t="shared" si="2"/>
        <v>0</v>
      </c>
      <c r="P51" s="4"/>
      <c r="R51" s="1"/>
      <c r="S51" s="1"/>
      <c r="T51" s="1"/>
      <c r="U51" s="1"/>
    </row>
    <row r="52" spans="2:21">
      <c r="B52" t="str">
        <f t="shared" si="0"/>
        <v/>
      </c>
      <c r="C52" s="155">
        <f>IF(D11="","-",+C51+1)</f>
        <v>2050</v>
      </c>
      <c r="D52" s="164">
        <f>IF(F51+SUM(E$17:E51)=D$10,F51,D$10-SUM(E$17:E51))</f>
        <v>1418655.3515701797</v>
      </c>
      <c r="E52" s="162">
        <f t="shared" si="4"/>
        <v>209319.85738284502</v>
      </c>
      <c r="F52" s="161">
        <f t="shared" si="5"/>
        <v>1209335.4941873346</v>
      </c>
      <c r="G52" s="163">
        <f t="shared" si="6"/>
        <v>363702.52905504475</v>
      </c>
      <c r="H52" s="145">
        <f t="shared" si="7"/>
        <v>363702.52905504475</v>
      </c>
      <c r="I52" s="158">
        <f t="shared" si="3"/>
        <v>0</v>
      </c>
      <c r="J52" s="158"/>
      <c r="K52" s="316"/>
      <c r="L52" s="160">
        <f t="shared" si="8"/>
        <v>0</v>
      </c>
      <c r="M52" s="316"/>
      <c r="N52" s="160">
        <f t="shared" si="1"/>
        <v>0</v>
      </c>
      <c r="O52" s="160">
        <f t="shared" si="2"/>
        <v>0</v>
      </c>
      <c r="P52" s="4"/>
      <c r="R52" s="1"/>
      <c r="S52" s="1"/>
      <c r="T52" s="1"/>
      <c r="U52" s="1"/>
    </row>
    <row r="53" spans="2:21">
      <c r="B53" t="str">
        <f t="shared" si="0"/>
        <v/>
      </c>
      <c r="C53" s="155">
        <f>IF(D11="","-",+C52+1)</f>
        <v>2051</v>
      </c>
      <c r="D53" s="164">
        <f>IF(F52+SUM(E$17:E52)=D$10,F52,D$10-SUM(E$17:E52))</f>
        <v>1209335.4941873346</v>
      </c>
      <c r="E53" s="162">
        <f t="shared" si="4"/>
        <v>209319.85738284502</v>
      </c>
      <c r="F53" s="161">
        <f t="shared" si="5"/>
        <v>1000015.6368044895</v>
      </c>
      <c r="G53" s="163">
        <f t="shared" si="6"/>
        <v>339109.32404523611</v>
      </c>
      <c r="H53" s="145">
        <f t="shared" si="7"/>
        <v>339109.32404523611</v>
      </c>
      <c r="I53" s="158">
        <f t="shared" si="3"/>
        <v>0</v>
      </c>
      <c r="J53" s="158"/>
      <c r="K53" s="316"/>
      <c r="L53" s="160">
        <f t="shared" si="8"/>
        <v>0</v>
      </c>
      <c r="M53" s="316"/>
      <c r="N53" s="160">
        <f t="shared" si="1"/>
        <v>0</v>
      </c>
      <c r="O53" s="160">
        <f t="shared" si="2"/>
        <v>0</v>
      </c>
      <c r="P53" s="4"/>
      <c r="R53" s="1"/>
      <c r="S53" s="1"/>
      <c r="T53" s="1"/>
      <c r="U53" s="1"/>
    </row>
    <row r="54" spans="2:21">
      <c r="B54" t="str">
        <f t="shared" si="0"/>
        <v/>
      </c>
      <c r="C54" s="155">
        <f>IF(D11="","-",+C53+1)</f>
        <v>2052</v>
      </c>
      <c r="D54" s="164">
        <f>IF(F53+SUM(E$17:E53)=D$10,F53,D$10-SUM(E$17:E53))</f>
        <v>1000015.6368044895</v>
      </c>
      <c r="E54" s="162">
        <f t="shared" si="4"/>
        <v>209319.85738284502</v>
      </c>
      <c r="F54" s="161">
        <f t="shared" si="5"/>
        <v>790695.77942164452</v>
      </c>
      <c r="G54" s="163">
        <f t="shared" si="6"/>
        <v>314516.11903542752</v>
      </c>
      <c r="H54" s="145">
        <f t="shared" si="7"/>
        <v>314516.11903542752</v>
      </c>
      <c r="I54" s="158">
        <f t="shared" si="3"/>
        <v>0</v>
      </c>
      <c r="J54" s="158"/>
      <c r="K54" s="316"/>
      <c r="L54" s="160">
        <f t="shared" si="8"/>
        <v>0</v>
      </c>
      <c r="M54" s="316"/>
      <c r="N54" s="160">
        <f t="shared" si="1"/>
        <v>0</v>
      </c>
      <c r="O54" s="160">
        <f t="shared" si="2"/>
        <v>0</v>
      </c>
      <c r="P54" s="4"/>
      <c r="R54" s="1"/>
      <c r="S54" s="1"/>
      <c r="T54" s="1"/>
      <c r="U54" s="1"/>
    </row>
    <row r="55" spans="2:21">
      <c r="B55" t="str">
        <f t="shared" si="0"/>
        <v/>
      </c>
      <c r="C55" s="155">
        <f>IF(D11="","-",+C54+1)</f>
        <v>2053</v>
      </c>
      <c r="D55" s="164">
        <f>IF(F54+SUM(E$17:E54)=D$10,F54,D$10-SUM(E$17:E54))</f>
        <v>790695.77942164452</v>
      </c>
      <c r="E55" s="162">
        <f t="shared" si="4"/>
        <v>209319.85738284502</v>
      </c>
      <c r="F55" s="161">
        <f t="shared" si="5"/>
        <v>581375.9220387995</v>
      </c>
      <c r="G55" s="163">
        <f t="shared" si="6"/>
        <v>289922.91402561887</v>
      </c>
      <c r="H55" s="145">
        <f t="shared" si="7"/>
        <v>289922.91402561887</v>
      </c>
      <c r="I55" s="158">
        <f t="shared" si="3"/>
        <v>0</v>
      </c>
      <c r="J55" s="158"/>
      <c r="K55" s="316"/>
      <c r="L55" s="160">
        <f t="shared" si="8"/>
        <v>0</v>
      </c>
      <c r="M55" s="316"/>
      <c r="N55" s="160">
        <f t="shared" si="1"/>
        <v>0</v>
      </c>
      <c r="O55" s="160">
        <f t="shared" si="2"/>
        <v>0</v>
      </c>
      <c r="P55" s="4"/>
      <c r="R55" s="1"/>
      <c r="S55" s="1"/>
      <c r="T55" s="1"/>
      <c r="U55" s="1"/>
    </row>
    <row r="56" spans="2:21">
      <c r="B56" t="str">
        <f t="shared" si="0"/>
        <v/>
      </c>
      <c r="C56" s="155">
        <f>IF(D11="","-",+C55+1)</f>
        <v>2054</v>
      </c>
      <c r="D56" s="164">
        <f>IF(F55+SUM(E$17:E55)=D$10,F55,D$10-SUM(E$17:E55))</f>
        <v>581375.9220387995</v>
      </c>
      <c r="E56" s="162">
        <f t="shared" si="4"/>
        <v>209319.85738284502</v>
      </c>
      <c r="F56" s="161">
        <f t="shared" si="5"/>
        <v>372056.06465595448</v>
      </c>
      <c r="G56" s="163">
        <f t="shared" si="6"/>
        <v>265329.70901581028</v>
      </c>
      <c r="H56" s="145">
        <f t="shared" si="7"/>
        <v>265329.70901581028</v>
      </c>
      <c r="I56" s="158">
        <f t="shared" si="3"/>
        <v>0</v>
      </c>
      <c r="J56" s="158"/>
      <c r="K56" s="316"/>
      <c r="L56" s="160">
        <f t="shared" si="8"/>
        <v>0</v>
      </c>
      <c r="M56" s="316"/>
      <c r="N56" s="160">
        <f t="shared" si="1"/>
        <v>0</v>
      </c>
      <c r="O56" s="160">
        <f t="shared" si="2"/>
        <v>0</v>
      </c>
      <c r="P56" s="4"/>
      <c r="R56" s="1"/>
      <c r="S56" s="1"/>
      <c r="T56" s="1"/>
      <c r="U56" s="1"/>
    </row>
    <row r="57" spans="2:21">
      <c r="B57" t="str">
        <f t="shared" si="0"/>
        <v/>
      </c>
      <c r="C57" s="155">
        <f>IF(D11="","-",+C56+1)</f>
        <v>2055</v>
      </c>
      <c r="D57" s="164">
        <f>IF(F56+SUM(E$17:E56)=D$10,F56,D$10-SUM(E$17:E56))</f>
        <v>372056.06465595448</v>
      </c>
      <c r="E57" s="162">
        <f t="shared" si="4"/>
        <v>209319.85738284502</v>
      </c>
      <c r="F57" s="161">
        <f t="shared" si="5"/>
        <v>162736.20727310947</v>
      </c>
      <c r="G57" s="163">
        <f t="shared" si="6"/>
        <v>240736.50400600169</v>
      </c>
      <c r="H57" s="145">
        <f t="shared" si="7"/>
        <v>240736.50400600169</v>
      </c>
      <c r="I57" s="158">
        <f t="shared" si="3"/>
        <v>0</v>
      </c>
      <c r="J57" s="158"/>
      <c r="K57" s="316"/>
      <c r="L57" s="160">
        <f t="shared" si="8"/>
        <v>0</v>
      </c>
      <c r="M57" s="316"/>
      <c r="N57" s="160">
        <f t="shared" si="1"/>
        <v>0</v>
      </c>
      <c r="O57" s="160">
        <f t="shared" si="2"/>
        <v>0</v>
      </c>
      <c r="P57" s="4"/>
      <c r="R57" s="1"/>
      <c r="S57" s="1"/>
      <c r="T57" s="1"/>
      <c r="U57" s="1"/>
    </row>
    <row r="58" spans="2:21">
      <c r="B58" t="str">
        <f t="shared" si="0"/>
        <v/>
      </c>
      <c r="C58" s="155">
        <f>IF(D11="","-",+C57+1)</f>
        <v>2056</v>
      </c>
      <c r="D58" s="164">
        <f>IF(F57+SUM(E$17:E57)=D$10,F57,D$10-SUM(E$17:E57))</f>
        <v>162736.20727310947</v>
      </c>
      <c r="E58" s="162">
        <f t="shared" si="4"/>
        <v>162736.20727310947</v>
      </c>
      <c r="F58" s="161">
        <f t="shared" si="5"/>
        <v>0</v>
      </c>
      <c r="G58" s="163">
        <f t="shared" si="6"/>
        <v>172296.22933223564</v>
      </c>
      <c r="H58" s="145">
        <f t="shared" si="7"/>
        <v>172296.22933223564</v>
      </c>
      <c r="I58" s="158">
        <f t="shared" si="3"/>
        <v>0</v>
      </c>
      <c r="J58" s="158"/>
      <c r="K58" s="316"/>
      <c r="L58" s="160">
        <f t="shared" si="8"/>
        <v>0</v>
      </c>
      <c r="M58" s="316"/>
      <c r="N58" s="160">
        <f t="shared" si="1"/>
        <v>0</v>
      </c>
      <c r="O58" s="160">
        <f t="shared" si="2"/>
        <v>0</v>
      </c>
      <c r="P58" s="4"/>
      <c r="R58" s="1"/>
      <c r="S58" s="1"/>
      <c r="T58" s="1"/>
      <c r="U58" s="1"/>
    </row>
    <row r="59" spans="2:21">
      <c r="B59" t="str">
        <f t="shared" si="0"/>
        <v/>
      </c>
      <c r="C59" s="155">
        <f>IF(D11="","-",+C58+1)</f>
        <v>2057</v>
      </c>
      <c r="D59" s="164">
        <f>IF(F58+SUM(E$17:E58)=D$10,F58,D$10-SUM(E$17:E58))</f>
        <v>0</v>
      </c>
      <c r="E59" s="162">
        <f t="shared" si="4"/>
        <v>0</v>
      </c>
      <c r="F59" s="161">
        <f t="shared" si="5"/>
        <v>0</v>
      </c>
      <c r="G59" s="163">
        <f t="shared" si="6"/>
        <v>0</v>
      </c>
      <c r="H59" s="145">
        <f t="shared" si="7"/>
        <v>0</v>
      </c>
      <c r="I59" s="158">
        <f t="shared" si="3"/>
        <v>0</v>
      </c>
      <c r="J59" s="158"/>
      <c r="K59" s="316"/>
      <c r="L59" s="160">
        <f t="shared" si="8"/>
        <v>0</v>
      </c>
      <c r="M59" s="316"/>
      <c r="N59" s="160">
        <f t="shared" si="1"/>
        <v>0</v>
      </c>
      <c r="O59" s="160">
        <f t="shared" si="2"/>
        <v>0</v>
      </c>
      <c r="P59" s="4"/>
      <c r="R59" s="1"/>
      <c r="S59" s="1"/>
      <c r="T59" s="1"/>
      <c r="U59" s="1"/>
    </row>
    <row r="60" spans="2:21">
      <c r="B60" t="str">
        <f t="shared" si="0"/>
        <v/>
      </c>
      <c r="C60" s="155">
        <f>IF(D11="","-",+C59+1)</f>
        <v>2058</v>
      </c>
      <c r="D60" s="164">
        <f>IF(F59+SUM(E$17:E59)=D$10,F59,D$10-SUM(E$17:E59))</f>
        <v>0</v>
      </c>
      <c r="E60" s="162">
        <f t="shared" si="4"/>
        <v>0</v>
      </c>
      <c r="F60" s="161">
        <f t="shared" si="5"/>
        <v>0</v>
      </c>
      <c r="G60" s="163">
        <f t="shared" si="6"/>
        <v>0</v>
      </c>
      <c r="H60" s="145">
        <f t="shared" si="7"/>
        <v>0</v>
      </c>
      <c r="I60" s="158">
        <f t="shared" si="3"/>
        <v>0</v>
      </c>
      <c r="J60" s="158"/>
      <c r="K60" s="316"/>
      <c r="L60" s="160">
        <f t="shared" si="8"/>
        <v>0</v>
      </c>
      <c r="M60" s="316"/>
      <c r="N60" s="160">
        <f t="shared" si="1"/>
        <v>0</v>
      </c>
      <c r="O60" s="160">
        <f t="shared" si="2"/>
        <v>0</v>
      </c>
      <c r="P60" s="4"/>
      <c r="R60" s="1"/>
      <c r="S60" s="1"/>
      <c r="T60" s="1"/>
      <c r="U60" s="1"/>
    </row>
    <row r="61" spans="2:21">
      <c r="B61" t="str">
        <f>IF(D61=F60,"","IU")</f>
        <v/>
      </c>
      <c r="C61" s="155">
        <f>IF(D11="","-",+C60+1)</f>
        <v>2059</v>
      </c>
      <c r="D61" s="164">
        <f>IF(F60+SUM(E$17:E60)=D$10,F60,D$10-SUM(E$17:E60))</f>
        <v>0</v>
      </c>
      <c r="E61" s="162">
        <f t="shared" si="4"/>
        <v>0</v>
      </c>
      <c r="F61" s="161">
        <f t="shared" si="5"/>
        <v>0</v>
      </c>
      <c r="G61" s="163">
        <f t="shared" si="6"/>
        <v>0</v>
      </c>
      <c r="H61" s="145">
        <f t="shared" si="7"/>
        <v>0</v>
      </c>
      <c r="I61" s="158">
        <f t="shared" si="3"/>
        <v>0</v>
      </c>
      <c r="J61" s="158"/>
      <c r="K61" s="316"/>
      <c r="L61" s="160">
        <f t="shared" si="8"/>
        <v>0</v>
      </c>
      <c r="M61" s="316"/>
      <c r="N61" s="160">
        <f t="shared" si="1"/>
        <v>0</v>
      </c>
      <c r="O61" s="160">
        <f t="shared" si="2"/>
        <v>0</v>
      </c>
      <c r="P61" s="4"/>
      <c r="R61" s="1"/>
      <c r="S61" s="1"/>
      <c r="T61" s="1"/>
      <c r="U61" s="1"/>
    </row>
    <row r="62" spans="2:21">
      <c r="B62" t="str">
        <f t="shared" si="0"/>
        <v/>
      </c>
      <c r="C62" s="155">
        <f>IF(D11="","-",+C61+1)</f>
        <v>2060</v>
      </c>
      <c r="D62" s="164">
        <f>IF(F61+SUM(E$17:E61)=D$10,F61,D$10-SUM(E$17:E61))</f>
        <v>0</v>
      </c>
      <c r="E62" s="162">
        <f t="shared" si="4"/>
        <v>0</v>
      </c>
      <c r="F62" s="161">
        <f t="shared" si="5"/>
        <v>0</v>
      </c>
      <c r="G62" s="163">
        <f t="shared" si="6"/>
        <v>0</v>
      </c>
      <c r="H62" s="145">
        <f t="shared" si="7"/>
        <v>0</v>
      </c>
      <c r="I62" s="158">
        <f t="shared" si="3"/>
        <v>0</v>
      </c>
      <c r="J62" s="158"/>
      <c r="K62" s="316"/>
      <c r="L62" s="160">
        <f t="shared" si="8"/>
        <v>0</v>
      </c>
      <c r="M62" s="316"/>
      <c r="N62" s="160">
        <f t="shared" si="1"/>
        <v>0</v>
      </c>
      <c r="O62" s="160">
        <f t="shared" si="2"/>
        <v>0</v>
      </c>
      <c r="P62" s="4"/>
      <c r="R62" s="1"/>
      <c r="S62" s="1"/>
      <c r="T62" s="1"/>
      <c r="U62" s="1"/>
    </row>
    <row r="63" spans="2:21">
      <c r="B63" t="str">
        <f t="shared" si="0"/>
        <v/>
      </c>
      <c r="C63" s="155">
        <f>IF(D11="","-",+C62+1)</f>
        <v>2061</v>
      </c>
      <c r="D63" s="164">
        <f>IF(F62+SUM(E$17:E62)=D$10,F62,D$10-SUM(E$17:E62))</f>
        <v>0</v>
      </c>
      <c r="E63" s="162">
        <f t="shared" si="4"/>
        <v>0</v>
      </c>
      <c r="F63" s="161">
        <f t="shared" si="5"/>
        <v>0</v>
      </c>
      <c r="G63" s="163">
        <f t="shared" si="6"/>
        <v>0</v>
      </c>
      <c r="H63" s="145">
        <f t="shared" si="7"/>
        <v>0</v>
      </c>
      <c r="I63" s="158">
        <f t="shared" si="3"/>
        <v>0</v>
      </c>
      <c r="J63" s="158"/>
      <c r="K63" s="316"/>
      <c r="L63" s="160">
        <f t="shared" si="8"/>
        <v>0</v>
      </c>
      <c r="M63" s="316"/>
      <c r="N63" s="160">
        <f t="shared" si="1"/>
        <v>0</v>
      </c>
      <c r="O63" s="160">
        <f t="shared" si="2"/>
        <v>0</v>
      </c>
      <c r="P63" s="4"/>
      <c r="R63" s="1"/>
      <c r="S63" s="1"/>
      <c r="T63" s="1"/>
      <c r="U63" s="1"/>
    </row>
    <row r="64" spans="2:21">
      <c r="B64" t="str">
        <f t="shared" si="0"/>
        <v/>
      </c>
      <c r="C64" s="155">
        <f>IF(D11="","-",+C63+1)</f>
        <v>2062</v>
      </c>
      <c r="D64" s="164">
        <f>IF(F63+SUM(E$17:E63)=D$10,F63,D$10-SUM(E$17:E63))</f>
        <v>0</v>
      </c>
      <c r="E64" s="162">
        <f t="shared" si="4"/>
        <v>0</v>
      </c>
      <c r="F64" s="161">
        <f t="shared" si="5"/>
        <v>0</v>
      </c>
      <c r="G64" s="163">
        <f t="shared" si="6"/>
        <v>0</v>
      </c>
      <c r="H64" s="145">
        <f t="shared" si="7"/>
        <v>0</v>
      </c>
      <c r="I64" s="158">
        <f t="shared" si="3"/>
        <v>0</v>
      </c>
      <c r="J64" s="158"/>
      <c r="K64" s="316"/>
      <c r="L64" s="160">
        <f t="shared" si="8"/>
        <v>0</v>
      </c>
      <c r="M64" s="316"/>
      <c r="N64" s="160">
        <f t="shared" si="1"/>
        <v>0</v>
      </c>
      <c r="O64" s="160">
        <f t="shared" si="2"/>
        <v>0</v>
      </c>
      <c r="P64" s="4"/>
      <c r="R64" s="1"/>
      <c r="S64" s="1"/>
      <c r="T64" s="1"/>
      <c r="U64" s="1"/>
    </row>
    <row r="65" spans="2:21">
      <c r="B65" t="str">
        <f t="shared" si="0"/>
        <v/>
      </c>
      <c r="C65" s="155">
        <f>IF(D11="","-",+C64+1)</f>
        <v>2063</v>
      </c>
      <c r="D65" s="164">
        <f>IF(F64+SUM(E$17:E64)=D$10,F64,D$10-SUM(E$17:E64))</f>
        <v>0</v>
      </c>
      <c r="E65" s="162">
        <f t="shared" si="4"/>
        <v>0</v>
      </c>
      <c r="F65" s="161">
        <f t="shared" si="5"/>
        <v>0</v>
      </c>
      <c r="G65" s="163">
        <f t="shared" si="6"/>
        <v>0</v>
      </c>
      <c r="H65" s="145">
        <f t="shared" si="7"/>
        <v>0</v>
      </c>
      <c r="I65" s="158">
        <f t="shared" si="3"/>
        <v>0</v>
      </c>
      <c r="J65" s="158"/>
      <c r="K65" s="316"/>
      <c r="L65" s="160">
        <f t="shared" si="8"/>
        <v>0</v>
      </c>
      <c r="M65" s="316"/>
      <c r="N65" s="160">
        <f t="shared" si="1"/>
        <v>0</v>
      </c>
      <c r="O65" s="160">
        <f t="shared" si="2"/>
        <v>0</v>
      </c>
      <c r="P65" s="4"/>
      <c r="R65" s="1"/>
      <c r="S65" s="1"/>
      <c r="T65" s="1"/>
      <c r="U65" s="1"/>
    </row>
    <row r="66" spans="2:21">
      <c r="B66" t="str">
        <f t="shared" si="0"/>
        <v/>
      </c>
      <c r="C66" s="155">
        <f>IF(D11="","-",+C65+1)</f>
        <v>2064</v>
      </c>
      <c r="D66" s="164">
        <f>IF(F65+SUM(E$17:E65)=D$10,F65,D$10-SUM(E$17:E65))</f>
        <v>0</v>
      </c>
      <c r="E66" s="162">
        <f t="shared" si="4"/>
        <v>0</v>
      </c>
      <c r="F66" s="161">
        <f t="shared" si="5"/>
        <v>0</v>
      </c>
      <c r="G66" s="163">
        <f t="shared" si="6"/>
        <v>0</v>
      </c>
      <c r="H66" s="145">
        <f t="shared" si="7"/>
        <v>0</v>
      </c>
      <c r="I66" s="158">
        <f t="shared" si="3"/>
        <v>0</v>
      </c>
      <c r="J66" s="158"/>
      <c r="K66" s="316"/>
      <c r="L66" s="160">
        <f t="shared" si="8"/>
        <v>0</v>
      </c>
      <c r="M66" s="316"/>
      <c r="N66" s="160">
        <f t="shared" si="1"/>
        <v>0</v>
      </c>
      <c r="O66" s="160">
        <f t="shared" si="2"/>
        <v>0</v>
      </c>
      <c r="P66" s="4"/>
      <c r="R66" s="1"/>
      <c r="S66" s="1"/>
      <c r="T66" s="1"/>
      <c r="U66" s="1"/>
    </row>
    <row r="67" spans="2:21">
      <c r="B67" t="str">
        <f t="shared" si="0"/>
        <v/>
      </c>
      <c r="C67" s="155">
        <f>IF(D11="","-",+C66+1)</f>
        <v>2065</v>
      </c>
      <c r="D67" s="164">
        <f>IF(F66+SUM(E$17:E66)=D$10,F66,D$10-SUM(E$17:E66))</f>
        <v>0</v>
      </c>
      <c r="E67" s="162">
        <f t="shared" si="4"/>
        <v>0</v>
      </c>
      <c r="F67" s="161">
        <f t="shared" si="5"/>
        <v>0</v>
      </c>
      <c r="G67" s="163">
        <f t="shared" si="6"/>
        <v>0</v>
      </c>
      <c r="H67" s="145">
        <f t="shared" si="7"/>
        <v>0</v>
      </c>
      <c r="I67" s="158">
        <f t="shared" si="3"/>
        <v>0</v>
      </c>
      <c r="J67" s="158"/>
      <c r="K67" s="316"/>
      <c r="L67" s="160">
        <f t="shared" si="8"/>
        <v>0</v>
      </c>
      <c r="M67" s="316"/>
      <c r="N67" s="160">
        <f t="shared" si="1"/>
        <v>0</v>
      </c>
      <c r="O67" s="160">
        <f t="shared" si="2"/>
        <v>0</v>
      </c>
      <c r="P67" s="4"/>
      <c r="R67" s="1"/>
      <c r="S67" s="1"/>
      <c r="T67" s="1"/>
      <c r="U67" s="1"/>
    </row>
    <row r="68" spans="2:21">
      <c r="B68" t="str">
        <f t="shared" si="0"/>
        <v/>
      </c>
      <c r="C68" s="155">
        <f>IF(D11="","-",+C67+1)</f>
        <v>2066</v>
      </c>
      <c r="D68" s="164">
        <f>IF(F67+SUM(E$17:E67)=D$10,F67,D$10-SUM(E$17:E67))</f>
        <v>0</v>
      </c>
      <c r="E68" s="162">
        <f t="shared" si="4"/>
        <v>0</v>
      </c>
      <c r="F68" s="161">
        <f t="shared" si="5"/>
        <v>0</v>
      </c>
      <c r="G68" s="163">
        <f t="shared" si="6"/>
        <v>0</v>
      </c>
      <c r="H68" s="145">
        <f t="shared" si="7"/>
        <v>0</v>
      </c>
      <c r="I68" s="158">
        <f t="shared" si="3"/>
        <v>0</v>
      </c>
      <c r="J68" s="158"/>
      <c r="K68" s="316"/>
      <c r="L68" s="160">
        <f t="shared" si="8"/>
        <v>0</v>
      </c>
      <c r="M68" s="316"/>
      <c r="N68" s="160">
        <f t="shared" si="1"/>
        <v>0</v>
      </c>
      <c r="O68" s="160">
        <f t="shared" si="2"/>
        <v>0</v>
      </c>
      <c r="P68" s="4"/>
      <c r="R68" s="1"/>
      <c r="S68" s="1"/>
      <c r="T68" s="1"/>
      <c r="U68" s="1"/>
    </row>
    <row r="69" spans="2:21">
      <c r="B69" t="str">
        <f t="shared" si="0"/>
        <v/>
      </c>
      <c r="C69" s="155">
        <f>IF(D11="","-",+C68+1)</f>
        <v>2067</v>
      </c>
      <c r="D69" s="164">
        <f>IF(F68+SUM(E$17:E68)=D$10,F68,D$10-SUM(E$17:E68))</f>
        <v>0</v>
      </c>
      <c r="E69" s="162">
        <f t="shared" si="4"/>
        <v>0</v>
      </c>
      <c r="F69" s="161">
        <f t="shared" si="5"/>
        <v>0</v>
      </c>
      <c r="G69" s="163">
        <f t="shared" si="6"/>
        <v>0</v>
      </c>
      <c r="H69" s="145">
        <f t="shared" si="7"/>
        <v>0</v>
      </c>
      <c r="I69" s="158">
        <f t="shared" si="3"/>
        <v>0</v>
      </c>
      <c r="J69" s="158"/>
      <c r="K69" s="316"/>
      <c r="L69" s="160">
        <f t="shared" si="8"/>
        <v>0</v>
      </c>
      <c r="M69" s="316"/>
      <c r="N69" s="160">
        <f t="shared" si="1"/>
        <v>0</v>
      </c>
      <c r="O69" s="160">
        <f t="shared" si="2"/>
        <v>0</v>
      </c>
      <c r="P69" s="4"/>
      <c r="R69" s="1"/>
      <c r="S69" s="1"/>
      <c r="T69" s="1"/>
      <c r="U69" s="1"/>
    </row>
    <row r="70" spans="2:21">
      <c r="B70" t="str">
        <f t="shared" si="0"/>
        <v/>
      </c>
      <c r="C70" s="155">
        <f>IF(D11="","-",+C69+1)</f>
        <v>2068</v>
      </c>
      <c r="D70" s="164">
        <f>IF(F69+SUM(E$17:E69)=D$10,F69,D$10-SUM(E$17:E69))</f>
        <v>0</v>
      </c>
      <c r="E70" s="162">
        <f t="shared" si="4"/>
        <v>0</v>
      </c>
      <c r="F70" s="161">
        <f t="shared" si="5"/>
        <v>0</v>
      </c>
      <c r="G70" s="163">
        <f t="shared" si="6"/>
        <v>0</v>
      </c>
      <c r="H70" s="145">
        <f t="shared" si="7"/>
        <v>0</v>
      </c>
      <c r="I70" s="158">
        <f t="shared" si="3"/>
        <v>0</v>
      </c>
      <c r="J70" s="158"/>
      <c r="K70" s="316"/>
      <c r="L70" s="160">
        <f t="shared" si="8"/>
        <v>0</v>
      </c>
      <c r="M70" s="316"/>
      <c r="N70" s="160">
        <f t="shared" si="1"/>
        <v>0</v>
      </c>
      <c r="O70" s="160">
        <f t="shared" si="2"/>
        <v>0</v>
      </c>
      <c r="P70" s="4"/>
      <c r="R70" s="1"/>
      <c r="S70" s="1"/>
      <c r="T70" s="1"/>
      <c r="U70" s="1"/>
    </row>
    <row r="71" spans="2:21">
      <c r="B71" t="str">
        <f t="shared" si="0"/>
        <v/>
      </c>
      <c r="C71" s="155">
        <f>IF(D11="","-",+C70+1)</f>
        <v>2069</v>
      </c>
      <c r="D71" s="164">
        <f>IF(F70+SUM(E$17:E70)=D$10,F70,D$10-SUM(E$17:E70))</f>
        <v>0</v>
      </c>
      <c r="E71" s="162">
        <f t="shared" si="4"/>
        <v>0</v>
      </c>
      <c r="F71" s="161">
        <f t="shared" si="5"/>
        <v>0</v>
      </c>
      <c r="G71" s="163">
        <f t="shared" si="6"/>
        <v>0</v>
      </c>
      <c r="H71" s="145">
        <f t="shared" si="7"/>
        <v>0</v>
      </c>
      <c r="I71" s="158">
        <f t="shared" si="3"/>
        <v>0</v>
      </c>
      <c r="J71" s="158"/>
      <c r="K71" s="316"/>
      <c r="L71" s="160">
        <f t="shared" si="8"/>
        <v>0</v>
      </c>
      <c r="M71" s="316"/>
      <c r="N71" s="160">
        <f t="shared" si="1"/>
        <v>0</v>
      </c>
      <c r="O71" s="160">
        <f t="shared" si="2"/>
        <v>0</v>
      </c>
      <c r="P71" s="4"/>
      <c r="R71" s="1"/>
      <c r="S71" s="1"/>
      <c r="T71" s="1"/>
      <c r="U71" s="1"/>
    </row>
    <row r="72" spans="2:21">
      <c r="B72" t="str">
        <f t="shared" si="0"/>
        <v/>
      </c>
      <c r="C72" s="155">
        <f>IF(D11="","-",+C71+1)</f>
        <v>2070</v>
      </c>
      <c r="D72" s="164">
        <f>IF(F71+SUM(E$17:E71)=D$10,F71,D$10-SUM(E$17:E71))</f>
        <v>0</v>
      </c>
      <c r="E72" s="162">
        <f t="shared" si="4"/>
        <v>0</v>
      </c>
      <c r="F72" s="161">
        <f t="shared" si="5"/>
        <v>0</v>
      </c>
      <c r="G72" s="163">
        <f t="shared" si="6"/>
        <v>0</v>
      </c>
      <c r="H72" s="145">
        <f t="shared" si="7"/>
        <v>0</v>
      </c>
      <c r="I72" s="158">
        <f t="shared" si="3"/>
        <v>0</v>
      </c>
      <c r="J72" s="158"/>
      <c r="K72" s="316"/>
      <c r="L72" s="160">
        <f t="shared" si="8"/>
        <v>0</v>
      </c>
      <c r="M72" s="316"/>
      <c r="N72" s="160">
        <f t="shared" si="1"/>
        <v>0</v>
      </c>
      <c r="O72" s="160">
        <f t="shared" si="2"/>
        <v>0</v>
      </c>
      <c r="P72" s="4"/>
      <c r="R72" s="1"/>
      <c r="S72" s="1"/>
      <c r="T72" s="1"/>
      <c r="U72" s="1"/>
    </row>
    <row r="73" spans="2:21" ht="13.5" thickBot="1">
      <c r="B73" t="str">
        <f t="shared" si="0"/>
        <v/>
      </c>
      <c r="C73" s="166">
        <f>IF(D11="","-",+C72+1)</f>
        <v>2071</v>
      </c>
      <c r="D73" s="164">
        <f>IF(F72+SUM(E$17:E72)=D$10,F72,D$10-SUM(E$17:E72))</f>
        <v>0</v>
      </c>
      <c r="E73" s="162">
        <f t="shared" si="4"/>
        <v>0</v>
      </c>
      <c r="F73" s="161">
        <f t="shared" si="5"/>
        <v>0</v>
      </c>
      <c r="G73" s="163">
        <f t="shared" si="6"/>
        <v>0</v>
      </c>
      <c r="H73" s="145">
        <f t="shared" si="7"/>
        <v>0</v>
      </c>
      <c r="I73" s="158">
        <f t="shared" si="3"/>
        <v>0</v>
      </c>
      <c r="J73" s="158"/>
      <c r="K73" s="317"/>
      <c r="L73" s="171">
        <f t="shared" si="8"/>
        <v>0</v>
      </c>
      <c r="M73" s="317"/>
      <c r="N73" s="171">
        <f t="shared" si="1"/>
        <v>0</v>
      </c>
      <c r="O73" s="171">
        <f t="shared" si="2"/>
        <v>0</v>
      </c>
      <c r="P73" s="4"/>
      <c r="R73" s="1"/>
      <c r="S73" s="1"/>
      <c r="T73" s="1"/>
      <c r="U73" s="1"/>
    </row>
    <row r="74" spans="2:21">
      <c r="C74" s="156" t="s">
        <v>75</v>
      </c>
      <c r="D74" s="112"/>
      <c r="E74" s="112">
        <f>SUM(E17:E73)</f>
        <v>8535104</v>
      </c>
      <c r="F74" s="112"/>
      <c r="G74" s="112">
        <f>SUM(G17:G73)</f>
        <v>29317717.029960375</v>
      </c>
      <c r="H74" s="112">
        <f>SUM(H17:H73)</f>
        <v>29317717.029960375</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9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1150685.0893689205</v>
      </c>
      <c r="N88" s="198">
        <f>IF(J93&lt;D11,0,VLOOKUP(J93,C17:O73,11))</f>
        <v>1150685.0893689205</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1074553.2860184449</v>
      </c>
      <c r="N89" s="200">
        <f>IF(J93&lt;D11,0,VLOOKUP(J93,C100:P155,7))</f>
        <v>1074553.2860184449</v>
      </c>
      <c r="O89" s="201">
        <f>+N89-M89</f>
        <v>0</v>
      </c>
      <c r="P89" s="1"/>
      <c r="Q89" s="1"/>
      <c r="R89" s="1"/>
      <c r="S89" s="1"/>
      <c r="T89" s="1"/>
      <c r="U89" s="1"/>
    </row>
    <row r="90" spans="1:21" ht="13.5" thickBot="1">
      <c r="C90" s="124" t="s">
        <v>82</v>
      </c>
      <c r="D90" s="243" t="str">
        <f>+D7</f>
        <v>Prattville-Bluebell 138 kV</v>
      </c>
      <c r="E90" s="1"/>
      <c r="F90" s="1"/>
      <c r="G90" s="1"/>
      <c r="H90" s="1"/>
      <c r="I90" s="3"/>
      <c r="J90" s="3"/>
      <c r="K90" s="256"/>
      <c r="L90" s="257" t="s">
        <v>135</v>
      </c>
      <c r="M90" s="203">
        <f>+M89-M88</f>
        <v>-76131.803350475617</v>
      </c>
      <c r="N90" s="203">
        <f>+N89-N88</f>
        <v>-76131.803350475617</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382" t="str">
        <f>+D9</f>
        <v>TP2010094</v>
      </c>
      <c r="E92" s="206"/>
      <c r="F92" s="206"/>
      <c r="G92" s="206"/>
      <c r="H92" s="206"/>
      <c r="I92" s="206"/>
      <c r="J92" s="206"/>
      <c r="K92" s="207"/>
      <c r="P92" s="134"/>
      <c r="Q92" s="1"/>
      <c r="R92" s="1"/>
      <c r="S92" s="1"/>
      <c r="T92" s="1"/>
      <c r="U92" s="1"/>
    </row>
    <row r="93" spans="1:21">
      <c r="C93" s="139" t="s">
        <v>49</v>
      </c>
      <c r="D93" s="401">
        <f>+D10</f>
        <v>8535104</v>
      </c>
      <c r="E93" s="23" t="s">
        <v>84</v>
      </c>
      <c r="H93" s="137"/>
      <c r="I93" s="137"/>
      <c r="J93" s="138">
        <f>+'OKT.WS.G.BPU.ATRR.True-up'!M16</f>
        <v>2018</v>
      </c>
      <c r="K93" s="133"/>
      <c r="L93" s="112" t="s">
        <v>85</v>
      </c>
      <c r="P93" s="4"/>
      <c r="Q93" s="1"/>
      <c r="R93" s="1"/>
      <c r="S93" s="1"/>
      <c r="T93" s="1"/>
      <c r="U93" s="1"/>
    </row>
    <row r="94" spans="1:21">
      <c r="C94" s="139" t="s">
        <v>52</v>
      </c>
      <c r="D94" s="218">
        <f>IF(D11=I10,"",D11)</f>
        <v>2015</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7">
        <f>IF(D11=I10,"",D12)</f>
        <v>6</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237086.22222222222</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 t="shared" ref="B100:B155" si="11">IF(D100=F99,"","IU")</f>
        <v>IU</v>
      </c>
      <c r="C100" s="155">
        <f>IF(D94= "","-",D94)</f>
        <v>2015</v>
      </c>
      <c r="D100" s="392">
        <v>0</v>
      </c>
      <c r="E100" s="393">
        <v>102447.91666666666</v>
      </c>
      <c r="F100" s="394">
        <v>8327552.083333333</v>
      </c>
      <c r="G100" s="395">
        <v>4163776.0416666665</v>
      </c>
      <c r="H100" s="395">
        <v>565998.7241739725</v>
      </c>
      <c r="I100" s="395">
        <v>565998.7241739725</v>
      </c>
      <c r="J100" s="160">
        <v>0</v>
      </c>
      <c r="K100" s="160"/>
      <c r="L100" s="344">
        <f>H100</f>
        <v>565998.7241739725</v>
      </c>
      <c r="M100" s="160">
        <f>IF(L100&lt;&gt;0,+H100-L100,0)</f>
        <v>0</v>
      </c>
      <c r="N100" s="344">
        <f>I100</f>
        <v>565998.7241739725</v>
      </c>
      <c r="O100" s="159">
        <f t="shared" ref="O100:O131" si="12">IF(N100&lt;&gt;0,+I100-N100,0)</f>
        <v>0</v>
      </c>
      <c r="P100" s="159">
        <f t="shared" ref="P100:P131" si="13">+O100-M100</f>
        <v>0</v>
      </c>
      <c r="Q100" s="1"/>
      <c r="R100" s="1"/>
      <c r="S100" s="1"/>
      <c r="T100" s="1"/>
      <c r="U100" s="1"/>
    </row>
    <row r="101" spans="1:21">
      <c r="B101" t="str">
        <f t="shared" si="11"/>
        <v>IU</v>
      </c>
      <c r="C101" s="155">
        <f>IF(D94="","-",+C100+1)</f>
        <v>2016</v>
      </c>
      <c r="D101" s="377">
        <v>8432656.083333334</v>
      </c>
      <c r="E101" s="375">
        <v>167354.98039215687</v>
      </c>
      <c r="F101" s="377">
        <v>8265301.1029411769</v>
      </c>
      <c r="G101" s="375">
        <v>8348978.5931372549</v>
      </c>
      <c r="H101" s="376">
        <v>1072129.2771965233</v>
      </c>
      <c r="I101" s="376">
        <v>1072129.2771965233</v>
      </c>
      <c r="J101" s="160">
        <f t="shared" ref="J101:J131" si="14">+I101-H101</f>
        <v>0</v>
      </c>
      <c r="K101" s="160"/>
      <c r="L101" s="344">
        <f>H101</f>
        <v>1072129.2771965233</v>
      </c>
      <c r="M101" s="160">
        <f>IF(L101&lt;&gt;0,+H101-L101,0)</f>
        <v>0</v>
      </c>
      <c r="N101" s="379">
        <f>I101</f>
        <v>1072129.2771965233</v>
      </c>
      <c r="O101" s="379">
        <f>IF(N101&lt;&gt;0,+I101-N101,0)</f>
        <v>0</v>
      </c>
      <c r="P101" s="160">
        <f>+O101-M101</f>
        <v>0</v>
      </c>
      <c r="Q101" s="1"/>
      <c r="R101" s="1"/>
      <c r="S101" s="1"/>
      <c r="T101" s="1"/>
      <c r="U101" s="1"/>
    </row>
    <row r="102" spans="1:21">
      <c r="B102" t="str">
        <f t="shared" si="11"/>
        <v/>
      </c>
      <c r="C102" s="155">
        <f>IF(D94="","-",+C101+1)</f>
        <v>2017</v>
      </c>
      <c r="D102" s="377">
        <v>8265301.1029411769</v>
      </c>
      <c r="E102" s="375">
        <v>213377.6</v>
      </c>
      <c r="F102" s="377">
        <v>8051923.5029411772</v>
      </c>
      <c r="G102" s="375">
        <v>8158612.302941177</v>
      </c>
      <c r="H102" s="376">
        <v>1170675.4253324734</v>
      </c>
      <c r="I102" s="376">
        <v>1170675.4253324734</v>
      </c>
      <c r="J102" s="160">
        <f t="shared" si="14"/>
        <v>0</v>
      </c>
      <c r="K102" s="160"/>
      <c r="L102" s="344">
        <f>H102</f>
        <v>1170675.4253324734</v>
      </c>
      <c r="M102" s="160">
        <f>IF(L102&lt;&gt;0,+H102-L102,0)</f>
        <v>0</v>
      </c>
      <c r="N102" s="379">
        <f>I102</f>
        <v>1170675.4253324734</v>
      </c>
      <c r="O102" s="379">
        <f>IF(N102&lt;&gt;0,+I102-N102,0)</f>
        <v>0</v>
      </c>
      <c r="P102" s="160">
        <f>+O102-M102</f>
        <v>0</v>
      </c>
      <c r="Q102" s="1"/>
      <c r="R102" s="1"/>
      <c r="S102" s="1"/>
      <c r="T102" s="1"/>
      <c r="U102" s="1"/>
    </row>
    <row r="103" spans="1:21">
      <c r="B103" t="str">
        <f t="shared" si="11"/>
        <v/>
      </c>
      <c r="C103" s="155">
        <f>IF(D94="","-",+C102+1)</f>
        <v>2018</v>
      </c>
      <c r="D103" s="156">
        <f>IF(F102+SUM(E$100:E102)=D$93,F102,D$93-SUM(E$100:E102))</f>
        <v>8051923.5029411772</v>
      </c>
      <c r="E103" s="162">
        <f>IF(+J97&lt;F102,J97,D103)</f>
        <v>237086.22222222222</v>
      </c>
      <c r="F103" s="161">
        <f t="shared" ref="F103:F155" si="15">+D103-E103</f>
        <v>7814837.2807189552</v>
      </c>
      <c r="G103" s="161">
        <f t="shared" ref="G103:G155" si="16">+(F103+D103)/2</f>
        <v>7933380.3918300662</v>
      </c>
      <c r="H103" s="165">
        <f t="shared" ref="H103:H155" si="17">+J$95*G103+E103</f>
        <v>1074553.2860184449</v>
      </c>
      <c r="I103" s="299">
        <f t="shared" ref="I103:I155" si="18">+J$96*G103+E103</f>
        <v>1074553.2860184449</v>
      </c>
      <c r="J103" s="160">
        <f t="shared" si="14"/>
        <v>0</v>
      </c>
      <c r="K103" s="160"/>
      <c r="L103" s="316"/>
      <c r="M103" s="160">
        <f t="shared" ref="M103:M131" si="19">IF(L103&lt;&gt;0,+H103-L103,0)</f>
        <v>0</v>
      </c>
      <c r="N103" s="316"/>
      <c r="O103" s="160">
        <f t="shared" si="12"/>
        <v>0</v>
      </c>
      <c r="P103" s="160">
        <f t="shared" si="13"/>
        <v>0</v>
      </c>
      <c r="Q103" s="1"/>
      <c r="R103" s="1"/>
      <c r="S103" s="1"/>
      <c r="T103" s="1"/>
      <c r="U103" s="1"/>
    </row>
    <row r="104" spans="1:21">
      <c r="B104" t="str">
        <f t="shared" si="11"/>
        <v/>
      </c>
      <c r="C104" s="155">
        <f>IF(D94="","-",+C103+1)</f>
        <v>2019</v>
      </c>
      <c r="D104" s="156">
        <f>IF(F103+SUM(E$100:E103)=D$93,F103,D$93-SUM(E$100:E103))</f>
        <v>7814837.2807189552</v>
      </c>
      <c r="E104" s="162">
        <f>IF(+J97&lt;F103,J97,D104)</f>
        <v>237086.22222222222</v>
      </c>
      <c r="F104" s="161">
        <f t="shared" si="15"/>
        <v>7577751.0584967332</v>
      </c>
      <c r="G104" s="161">
        <f t="shared" si="16"/>
        <v>7696294.1696078442</v>
      </c>
      <c r="H104" s="165">
        <f t="shared" si="17"/>
        <v>1049525.8837530178</v>
      </c>
      <c r="I104" s="299">
        <f t="shared" si="18"/>
        <v>1049525.8837530178</v>
      </c>
      <c r="J104" s="160">
        <f t="shared" si="14"/>
        <v>0</v>
      </c>
      <c r="K104" s="160"/>
      <c r="L104" s="316"/>
      <c r="M104" s="160">
        <f t="shared" si="19"/>
        <v>0</v>
      </c>
      <c r="N104" s="316"/>
      <c r="O104" s="160">
        <f t="shared" si="12"/>
        <v>0</v>
      </c>
      <c r="P104" s="160">
        <f t="shared" si="13"/>
        <v>0</v>
      </c>
      <c r="Q104" s="1"/>
      <c r="R104" s="1"/>
      <c r="S104" s="1"/>
      <c r="T104" s="1"/>
      <c r="U104" s="1"/>
    </row>
    <row r="105" spans="1:21">
      <c r="B105" t="str">
        <f t="shared" si="11"/>
        <v/>
      </c>
      <c r="C105" s="155">
        <f>IF(D94="","-",+C104+1)</f>
        <v>2020</v>
      </c>
      <c r="D105" s="156">
        <f>IF(F104+SUM(E$100:E104)=D$93,F104,D$93-SUM(E$100:E104))</f>
        <v>7577751.0584967332</v>
      </c>
      <c r="E105" s="162">
        <f>IF(+J97&lt;F104,J97,D105)</f>
        <v>237086.22222222222</v>
      </c>
      <c r="F105" s="161">
        <f t="shared" si="15"/>
        <v>7340664.8362745112</v>
      </c>
      <c r="G105" s="161">
        <f t="shared" si="16"/>
        <v>7459207.9473856222</v>
      </c>
      <c r="H105" s="165">
        <f t="shared" si="17"/>
        <v>1024498.4814875908</v>
      </c>
      <c r="I105" s="299">
        <f t="shared" si="18"/>
        <v>1024498.4814875908</v>
      </c>
      <c r="J105" s="160">
        <f t="shared" si="14"/>
        <v>0</v>
      </c>
      <c r="K105" s="160"/>
      <c r="L105" s="316"/>
      <c r="M105" s="160">
        <f t="shared" si="19"/>
        <v>0</v>
      </c>
      <c r="N105" s="316"/>
      <c r="O105" s="160">
        <f t="shared" si="12"/>
        <v>0</v>
      </c>
      <c r="P105" s="160">
        <f t="shared" si="13"/>
        <v>0</v>
      </c>
      <c r="Q105" s="1"/>
      <c r="R105" s="1"/>
      <c r="S105" s="1"/>
      <c r="T105" s="1"/>
      <c r="U105" s="1"/>
    </row>
    <row r="106" spans="1:21">
      <c r="B106" t="str">
        <f t="shared" si="11"/>
        <v/>
      </c>
      <c r="C106" s="155">
        <f>IF(D94="","-",+C105+1)</f>
        <v>2021</v>
      </c>
      <c r="D106" s="156">
        <f>IF(F105+SUM(E$100:E105)=D$93,F105,D$93-SUM(E$100:E105))</f>
        <v>7340664.8362745112</v>
      </c>
      <c r="E106" s="162">
        <f>IF(+J97&lt;F105,J97,D106)</f>
        <v>237086.22222222222</v>
      </c>
      <c r="F106" s="161">
        <f t="shared" si="15"/>
        <v>7103578.6140522892</v>
      </c>
      <c r="G106" s="161">
        <f t="shared" si="16"/>
        <v>7222121.7251634002</v>
      </c>
      <c r="H106" s="165">
        <f t="shared" si="17"/>
        <v>999471.07922216365</v>
      </c>
      <c r="I106" s="299">
        <f t="shared" si="18"/>
        <v>999471.07922216365</v>
      </c>
      <c r="J106" s="160">
        <f t="shared" si="14"/>
        <v>0</v>
      </c>
      <c r="K106" s="160"/>
      <c r="L106" s="316"/>
      <c r="M106" s="160">
        <f t="shared" si="19"/>
        <v>0</v>
      </c>
      <c r="N106" s="316"/>
      <c r="O106" s="160">
        <f t="shared" si="12"/>
        <v>0</v>
      </c>
      <c r="P106" s="160">
        <f t="shared" si="13"/>
        <v>0</v>
      </c>
      <c r="Q106" s="1"/>
      <c r="R106" s="1"/>
      <c r="S106" s="1"/>
      <c r="T106" s="1"/>
      <c r="U106" s="1"/>
    </row>
    <row r="107" spans="1:21">
      <c r="B107" t="str">
        <f t="shared" si="11"/>
        <v/>
      </c>
      <c r="C107" s="155">
        <f>IF(D94="","-",+C106+1)</f>
        <v>2022</v>
      </c>
      <c r="D107" s="156">
        <f>IF(F106+SUM(E$100:E106)=D$93,F106,D$93-SUM(E$100:E106))</f>
        <v>7103578.6140522892</v>
      </c>
      <c r="E107" s="162">
        <f>IF(+J97&lt;F106,J97,D107)</f>
        <v>237086.22222222222</v>
      </c>
      <c r="F107" s="161">
        <f t="shared" si="15"/>
        <v>6866492.3918300672</v>
      </c>
      <c r="G107" s="161">
        <f t="shared" si="16"/>
        <v>6985035.5029411782</v>
      </c>
      <c r="H107" s="165">
        <f t="shared" si="17"/>
        <v>974443.67695673648</v>
      </c>
      <c r="I107" s="299">
        <f t="shared" si="18"/>
        <v>974443.67695673648</v>
      </c>
      <c r="J107" s="160">
        <f t="shared" si="14"/>
        <v>0</v>
      </c>
      <c r="K107" s="160"/>
      <c r="L107" s="316"/>
      <c r="M107" s="160">
        <f t="shared" si="19"/>
        <v>0</v>
      </c>
      <c r="N107" s="316"/>
      <c r="O107" s="160">
        <f t="shared" si="12"/>
        <v>0</v>
      </c>
      <c r="P107" s="160">
        <f t="shared" si="13"/>
        <v>0</v>
      </c>
      <c r="Q107" s="1"/>
      <c r="R107" s="1"/>
      <c r="S107" s="1"/>
      <c r="T107" s="1"/>
      <c r="U107" s="1"/>
    </row>
    <row r="108" spans="1:21">
      <c r="B108" t="str">
        <f t="shared" si="11"/>
        <v/>
      </c>
      <c r="C108" s="155">
        <f>IF(D94="","-",+C107+1)</f>
        <v>2023</v>
      </c>
      <c r="D108" s="156">
        <f>IF(F107+SUM(E$100:E107)=D$93,F107,D$93-SUM(E$100:E107))</f>
        <v>6866492.3918300672</v>
      </c>
      <c r="E108" s="162">
        <f>IF(+J97&lt;F107,J97,D108)</f>
        <v>237086.22222222222</v>
      </c>
      <c r="F108" s="161">
        <f t="shared" si="15"/>
        <v>6629406.1696078451</v>
      </c>
      <c r="G108" s="161">
        <f t="shared" si="16"/>
        <v>6747949.2807189561</v>
      </c>
      <c r="H108" s="165">
        <f t="shared" si="17"/>
        <v>949416.27469130931</v>
      </c>
      <c r="I108" s="299">
        <f t="shared" si="18"/>
        <v>949416.27469130931</v>
      </c>
      <c r="J108" s="160">
        <f t="shared" si="14"/>
        <v>0</v>
      </c>
      <c r="K108" s="160"/>
      <c r="L108" s="316"/>
      <c r="M108" s="160">
        <f t="shared" si="19"/>
        <v>0</v>
      </c>
      <c r="N108" s="316"/>
      <c r="O108" s="160">
        <f t="shared" si="12"/>
        <v>0</v>
      </c>
      <c r="P108" s="160">
        <f t="shared" si="13"/>
        <v>0</v>
      </c>
      <c r="Q108" s="1"/>
      <c r="R108" s="1"/>
      <c r="S108" s="1"/>
      <c r="T108" s="1"/>
      <c r="U108" s="1"/>
    </row>
    <row r="109" spans="1:21">
      <c r="B109" t="str">
        <f t="shared" si="11"/>
        <v/>
      </c>
      <c r="C109" s="155">
        <f>IF(D94="","-",+C108+1)</f>
        <v>2024</v>
      </c>
      <c r="D109" s="156">
        <f>IF(F108+SUM(E$100:E108)=D$93,F108,D$93-SUM(E$100:E108))</f>
        <v>6629406.1696078451</v>
      </c>
      <c r="E109" s="162">
        <f>IF(+J97&lt;F108,J97,D109)</f>
        <v>237086.22222222222</v>
      </c>
      <c r="F109" s="161">
        <f t="shared" si="15"/>
        <v>6392319.9473856231</v>
      </c>
      <c r="G109" s="161">
        <f t="shared" si="16"/>
        <v>6510863.0584967341</v>
      </c>
      <c r="H109" s="165">
        <f t="shared" si="17"/>
        <v>924388.87242588226</v>
      </c>
      <c r="I109" s="299">
        <f t="shared" si="18"/>
        <v>924388.87242588226</v>
      </c>
      <c r="J109" s="160">
        <f t="shared" si="14"/>
        <v>0</v>
      </c>
      <c r="K109" s="160"/>
      <c r="L109" s="316"/>
      <c r="M109" s="160">
        <f t="shared" si="19"/>
        <v>0</v>
      </c>
      <c r="N109" s="316"/>
      <c r="O109" s="160">
        <f t="shared" si="12"/>
        <v>0</v>
      </c>
      <c r="P109" s="160">
        <f t="shared" si="13"/>
        <v>0</v>
      </c>
      <c r="Q109" s="1"/>
      <c r="R109" s="1"/>
      <c r="S109" s="1"/>
      <c r="T109" s="1"/>
      <c r="U109" s="1"/>
    </row>
    <row r="110" spans="1:21">
      <c r="B110" t="str">
        <f t="shared" si="11"/>
        <v/>
      </c>
      <c r="C110" s="155">
        <f>IF(D94="","-",+C109+1)</f>
        <v>2025</v>
      </c>
      <c r="D110" s="156">
        <f>IF(F109+SUM(E$100:E109)=D$93,F109,D$93-SUM(E$100:E109))</f>
        <v>6392319.9473856231</v>
      </c>
      <c r="E110" s="162">
        <f>IF(+J97&lt;F109,J97,D110)</f>
        <v>237086.22222222222</v>
      </c>
      <c r="F110" s="161">
        <f t="shared" si="15"/>
        <v>6155233.7251634011</v>
      </c>
      <c r="G110" s="161">
        <f t="shared" si="16"/>
        <v>6273776.8362745121</v>
      </c>
      <c r="H110" s="165">
        <f t="shared" si="17"/>
        <v>899361.47016045509</v>
      </c>
      <c r="I110" s="299">
        <f t="shared" si="18"/>
        <v>899361.47016045509</v>
      </c>
      <c r="J110" s="160">
        <f t="shared" si="14"/>
        <v>0</v>
      </c>
      <c r="K110" s="160"/>
      <c r="L110" s="316"/>
      <c r="M110" s="160">
        <f t="shared" si="19"/>
        <v>0</v>
      </c>
      <c r="N110" s="316"/>
      <c r="O110" s="160">
        <f t="shared" si="12"/>
        <v>0</v>
      </c>
      <c r="P110" s="160">
        <f t="shared" si="13"/>
        <v>0</v>
      </c>
      <c r="Q110" s="1"/>
      <c r="R110" s="1"/>
      <c r="S110" s="1"/>
      <c r="T110" s="1"/>
      <c r="U110" s="1"/>
    </row>
    <row r="111" spans="1:21">
      <c r="B111" t="str">
        <f t="shared" si="11"/>
        <v/>
      </c>
      <c r="C111" s="155">
        <f>IF(D94="","-",+C110+1)</f>
        <v>2026</v>
      </c>
      <c r="D111" s="156">
        <f>IF(F110+SUM(E$100:E110)=D$93,F110,D$93-SUM(E$100:E110))</f>
        <v>6155233.7251634011</v>
      </c>
      <c r="E111" s="162">
        <f>IF(+J97&lt;F110,J97,D111)</f>
        <v>237086.22222222222</v>
      </c>
      <c r="F111" s="161">
        <f t="shared" si="15"/>
        <v>5918147.5029411791</v>
      </c>
      <c r="G111" s="161">
        <f t="shared" si="16"/>
        <v>6036690.6140522901</v>
      </c>
      <c r="H111" s="165">
        <f t="shared" si="17"/>
        <v>874334.06789502793</v>
      </c>
      <c r="I111" s="299">
        <f t="shared" si="18"/>
        <v>874334.06789502793</v>
      </c>
      <c r="J111" s="160">
        <f t="shared" si="14"/>
        <v>0</v>
      </c>
      <c r="K111" s="160"/>
      <c r="L111" s="316"/>
      <c r="M111" s="160">
        <f t="shared" si="19"/>
        <v>0</v>
      </c>
      <c r="N111" s="316"/>
      <c r="O111" s="160">
        <f t="shared" si="12"/>
        <v>0</v>
      </c>
      <c r="P111" s="160">
        <f t="shared" si="13"/>
        <v>0</v>
      </c>
      <c r="Q111" s="1"/>
      <c r="R111" s="1"/>
      <c r="S111" s="1"/>
      <c r="T111" s="1"/>
      <c r="U111" s="1"/>
    </row>
    <row r="112" spans="1:21">
      <c r="B112" t="str">
        <f t="shared" si="11"/>
        <v/>
      </c>
      <c r="C112" s="155">
        <f>IF(D94="","-",+C111+1)</f>
        <v>2027</v>
      </c>
      <c r="D112" s="156">
        <f>IF(F111+SUM(E$100:E111)=D$93,F111,D$93-SUM(E$100:E111))</f>
        <v>5918147.5029411791</v>
      </c>
      <c r="E112" s="162">
        <f>IF(+J97&lt;F111,J97,D112)</f>
        <v>237086.22222222222</v>
      </c>
      <c r="F112" s="161">
        <f t="shared" si="15"/>
        <v>5681061.2807189571</v>
      </c>
      <c r="G112" s="161">
        <f t="shared" si="16"/>
        <v>5799604.3918300681</v>
      </c>
      <c r="H112" s="165">
        <f t="shared" si="17"/>
        <v>849306.66562960076</v>
      </c>
      <c r="I112" s="299">
        <f t="shared" si="18"/>
        <v>849306.66562960076</v>
      </c>
      <c r="J112" s="160">
        <f t="shared" si="14"/>
        <v>0</v>
      </c>
      <c r="K112" s="160"/>
      <c r="L112" s="316"/>
      <c r="M112" s="160">
        <f t="shared" si="19"/>
        <v>0</v>
      </c>
      <c r="N112" s="316"/>
      <c r="O112" s="160">
        <f t="shared" si="12"/>
        <v>0</v>
      </c>
      <c r="P112" s="160">
        <f t="shared" si="13"/>
        <v>0</v>
      </c>
      <c r="Q112" s="1"/>
      <c r="R112" s="1"/>
      <c r="S112" s="1"/>
      <c r="T112" s="1"/>
      <c r="U112" s="1"/>
    </row>
    <row r="113" spans="2:21">
      <c r="B113" t="str">
        <f t="shared" si="11"/>
        <v/>
      </c>
      <c r="C113" s="155">
        <f>IF(D94="","-",+C112+1)</f>
        <v>2028</v>
      </c>
      <c r="D113" s="156">
        <f>IF(F112+SUM(E$100:E112)=D$93,F112,D$93-SUM(E$100:E112))</f>
        <v>5681061.2807189571</v>
      </c>
      <c r="E113" s="162">
        <f>IF(+J97&lt;F112,J97,D113)</f>
        <v>237086.22222222222</v>
      </c>
      <c r="F113" s="161">
        <f t="shared" si="15"/>
        <v>5443975.0584967351</v>
      </c>
      <c r="G113" s="161">
        <f t="shared" si="16"/>
        <v>5562518.1696078461</v>
      </c>
      <c r="H113" s="165">
        <f t="shared" si="17"/>
        <v>824279.2633641737</v>
      </c>
      <c r="I113" s="299">
        <f t="shared" si="18"/>
        <v>824279.2633641737</v>
      </c>
      <c r="J113" s="160">
        <f t="shared" si="14"/>
        <v>0</v>
      </c>
      <c r="K113" s="160"/>
      <c r="L113" s="316"/>
      <c r="M113" s="160">
        <f t="shared" si="19"/>
        <v>0</v>
      </c>
      <c r="N113" s="316"/>
      <c r="O113" s="160">
        <f t="shared" si="12"/>
        <v>0</v>
      </c>
      <c r="P113" s="160">
        <f t="shared" si="13"/>
        <v>0</v>
      </c>
      <c r="Q113" s="1"/>
      <c r="R113" s="1"/>
      <c r="S113" s="1"/>
      <c r="T113" s="1"/>
      <c r="U113" s="1"/>
    </row>
    <row r="114" spans="2:21">
      <c r="B114" t="str">
        <f t="shared" si="11"/>
        <v/>
      </c>
      <c r="C114" s="155">
        <f>IF(D94="","-",+C113+1)</f>
        <v>2029</v>
      </c>
      <c r="D114" s="156">
        <f>IF(F113+SUM(E$100:E113)=D$93,F113,D$93-SUM(E$100:E113))</f>
        <v>5443975.0584967351</v>
      </c>
      <c r="E114" s="162">
        <f>IF(+J97&lt;F113,J97,D114)</f>
        <v>237086.22222222222</v>
      </c>
      <c r="F114" s="161">
        <f t="shared" si="15"/>
        <v>5206888.836274513</v>
      </c>
      <c r="G114" s="161">
        <f t="shared" si="16"/>
        <v>5325431.9473856241</v>
      </c>
      <c r="H114" s="165">
        <f t="shared" si="17"/>
        <v>799251.86109874654</v>
      </c>
      <c r="I114" s="299">
        <f t="shared" si="18"/>
        <v>799251.86109874654</v>
      </c>
      <c r="J114" s="160">
        <f t="shared" si="14"/>
        <v>0</v>
      </c>
      <c r="K114" s="160"/>
      <c r="L114" s="316"/>
      <c r="M114" s="160">
        <f t="shared" si="19"/>
        <v>0</v>
      </c>
      <c r="N114" s="316"/>
      <c r="O114" s="160">
        <f t="shared" si="12"/>
        <v>0</v>
      </c>
      <c r="P114" s="160">
        <f t="shared" si="13"/>
        <v>0</v>
      </c>
      <c r="Q114" s="1"/>
      <c r="R114" s="1"/>
      <c r="S114" s="1"/>
      <c r="T114" s="1"/>
      <c r="U114" s="1"/>
    </row>
    <row r="115" spans="2:21">
      <c r="B115" t="str">
        <f t="shared" si="11"/>
        <v/>
      </c>
      <c r="C115" s="155">
        <f>IF(D94="","-",+C114+1)</f>
        <v>2030</v>
      </c>
      <c r="D115" s="156">
        <f>IF(F114+SUM(E$100:E114)=D$93,F114,D$93-SUM(E$100:E114))</f>
        <v>5206888.836274513</v>
      </c>
      <c r="E115" s="162">
        <f>IF(+J97&lt;F114,J97,D115)</f>
        <v>237086.22222222222</v>
      </c>
      <c r="F115" s="161">
        <f t="shared" si="15"/>
        <v>4969802.614052291</v>
      </c>
      <c r="G115" s="161">
        <f t="shared" si="16"/>
        <v>5088345.725163402</v>
      </c>
      <c r="H115" s="165">
        <f t="shared" si="17"/>
        <v>774224.45883331937</v>
      </c>
      <c r="I115" s="299">
        <f t="shared" si="18"/>
        <v>774224.45883331937</v>
      </c>
      <c r="J115" s="160">
        <f t="shared" si="14"/>
        <v>0</v>
      </c>
      <c r="K115" s="160"/>
      <c r="L115" s="316"/>
      <c r="M115" s="160">
        <f t="shared" si="19"/>
        <v>0</v>
      </c>
      <c r="N115" s="316"/>
      <c r="O115" s="160">
        <f t="shared" si="12"/>
        <v>0</v>
      </c>
      <c r="P115" s="160">
        <f t="shared" si="13"/>
        <v>0</v>
      </c>
      <c r="Q115" s="1"/>
      <c r="R115" s="1"/>
      <c r="S115" s="1"/>
      <c r="T115" s="1"/>
      <c r="U115" s="1"/>
    </row>
    <row r="116" spans="2:21">
      <c r="B116" t="str">
        <f t="shared" si="11"/>
        <v/>
      </c>
      <c r="C116" s="155">
        <f>IF(D94="","-",+C115+1)</f>
        <v>2031</v>
      </c>
      <c r="D116" s="156">
        <f>IF(F115+SUM(E$100:E115)=D$93,F115,D$93-SUM(E$100:E115))</f>
        <v>4969802.614052291</v>
      </c>
      <c r="E116" s="162">
        <f>IF(+J97&lt;F115,J97,D116)</f>
        <v>237086.22222222222</v>
      </c>
      <c r="F116" s="161">
        <f t="shared" si="15"/>
        <v>4732716.391830069</v>
      </c>
      <c r="G116" s="161">
        <f t="shared" si="16"/>
        <v>4851259.50294118</v>
      </c>
      <c r="H116" s="165">
        <f t="shared" si="17"/>
        <v>749197.0565678922</v>
      </c>
      <c r="I116" s="299">
        <f t="shared" si="18"/>
        <v>749197.0565678922</v>
      </c>
      <c r="J116" s="160">
        <f t="shared" si="14"/>
        <v>0</v>
      </c>
      <c r="K116" s="160"/>
      <c r="L116" s="316"/>
      <c r="M116" s="160">
        <f t="shared" si="19"/>
        <v>0</v>
      </c>
      <c r="N116" s="316"/>
      <c r="O116" s="160">
        <f t="shared" si="12"/>
        <v>0</v>
      </c>
      <c r="P116" s="160">
        <f t="shared" si="13"/>
        <v>0</v>
      </c>
      <c r="Q116" s="1"/>
      <c r="R116" s="1"/>
      <c r="S116" s="1"/>
      <c r="T116" s="1"/>
      <c r="U116" s="1"/>
    </row>
    <row r="117" spans="2:21">
      <c r="B117" t="str">
        <f t="shared" si="11"/>
        <v/>
      </c>
      <c r="C117" s="155">
        <f>IF(D94="","-",+C116+1)</f>
        <v>2032</v>
      </c>
      <c r="D117" s="156">
        <f>IF(F116+SUM(E$100:E116)=D$93,F116,D$93-SUM(E$100:E116))</f>
        <v>4732716.391830069</v>
      </c>
      <c r="E117" s="162">
        <f>IF(+J97&lt;F116,J97,D117)</f>
        <v>237086.22222222222</v>
      </c>
      <c r="F117" s="161">
        <f t="shared" si="15"/>
        <v>4495630.169607847</v>
      </c>
      <c r="G117" s="161">
        <f t="shared" si="16"/>
        <v>4614173.280718958</v>
      </c>
      <c r="H117" s="165">
        <f t="shared" si="17"/>
        <v>724169.65430246503</v>
      </c>
      <c r="I117" s="299">
        <f t="shared" si="18"/>
        <v>724169.65430246503</v>
      </c>
      <c r="J117" s="160">
        <f t="shared" si="14"/>
        <v>0</v>
      </c>
      <c r="K117" s="160"/>
      <c r="L117" s="316"/>
      <c r="M117" s="160">
        <f t="shared" si="19"/>
        <v>0</v>
      </c>
      <c r="N117" s="316"/>
      <c r="O117" s="160">
        <f t="shared" si="12"/>
        <v>0</v>
      </c>
      <c r="P117" s="160">
        <f t="shared" si="13"/>
        <v>0</v>
      </c>
      <c r="Q117" s="1"/>
      <c r="R117" s="1"/>
      <c r="S117" s="1"/>
      <c r="T117" s="1"/>
      <c r="U117" s="1"/>
    </row>
    <row r="118" spans="2:21">
      <c r="B118" t="str">
        <f t="shared" si="11"/>
        <v/>
      </c>
      <c r="C118" s="155">
        <f>IF(D94="","-",+C117+1)</f>
        <v>2033</v>
      </c>
      <c r="D118" s="156">
        <f>IF(F117+SUM(E$100:E117)=D$93,F117,D$93-SUM(E$100:E117))</f>
        <v>4495630.169607847</v>
      </c>
      <c r="E118" s="162">
        <f>IF(+J97&lt;F117,J97,D118)</f>
        <v>237086.22222222222</v>
      </c>
      <c r="F118" s="161">
        <f t="shared" si="15"/>
        <v>4258543.947385625</v>
      </c>
      <c r="G118" s="161">
        <f t="shared" si="16"/>
        <v>4377087.058496736</v>
      </c>
      <c r="H118" s="165">
        <f t="shared" si="17"/>
        <v>699142.25203703786</v>
      </c>
      <c r="I118" s="299">
        <f t="shared" si="18"/>
        <v>699142.25203703786</v>
      </c>
      <c r="J118" s="160">
        <f t="shared" si="14"/>
        <v>0</v>
      </c>
      <c r="K118" s="160"/>
      <c r="L118" s="316"/>
      <c r="M118" s="160">
        <f t="shared" si="19"/>
        <v>0</v>
      </c>
      <c r="N118" s="316"/>
      <c r="O118" s="160">
        <f t="shared" si="12"/>
        <v>0</v>
      </c>
      <c r="P118" s="160">
        <f t="shared" si="13"/>
        <v>0</v>
      </c>
      <c r="Q118" s="1"/>
      <c r="R118" s="1"/>
      <c r="S118" s="1"/>
      <c r="T118" s="1"/>
      <c r="U118" s="1"/>
    </row>
    <row r="119" spans="2:21">
      <c r="B119" t="str">
        <f t="shared" si="11"/>
        <v/>
      </c>
      <c r="C119" s="155">
        <f>IF(D94="","-",+C118+1)</f>
        <v>2034</v>
      </c>
      <c r="D119" s="156">
        <f>IF(F118+SUM(E$100:E118)=D$93,F118,D$93-SUM(E$100:E118))</f>
        <v>4258543.947385625</v>
      </c>
      <c r="E119" s="162">
        <f>IF(+J97&lt;F118,J97,D119)</f>
        <v>237086.22222222222</v>
      </c>
      <c r="F119" s="161">
        <f t="shared" si="15"/>
        <v>4021457.725163403</v>
      </c>
      <c r="G119" s="161">
        <f t="shared" si="16"/>
        <v>4140000.836274514</v>
      </c>
      <c r="H119" s="165">
        <f t="shared" si="17"/>
        <v>674114.84977161081</v>
      </c>
      <c r="I119" s="299">
        <f t="shared" si="18"/>
        <v>674114.84977161081</v>
      </c>
      <c r="J119" s="160">
        <f t="shared" si="14"/>
        <v>0</v>
      </c>
      <c r="K119" s="160"/>
      <c r="L119" s="316"/>
      <c r="M119" s="160">
        <f t="shared" si="19"/>
        <v>0</v>
      </c>
      <c r="N119" s="316"/>
      <c r="O119" s="160">
        <f t="shared" si="12"/>
        <v>0</v>
      </c>
      <c r="P119" s="160">
        <f t="shared" si="13"/>
        <v>0</v>
      </c>
      <c r="Q119" s="1"/>
      <c r="R119" s="1"/>
      <c r="S119" s="1"/>
      <c r="T119" s="1"/>
      <c r="U119" s="1"/>
    </row>
    <row r="120" spans="2:21">
      <c r="B120" t="str">
        <f t="shared" si="11"/>
        <v/>
      </c>
      <c r="C120" s="155">
        <f>IF(D94="","-",+C119+1)</f>
        <v>2035</v>
      </c>
      <c r="D120" s="156">
        <f>IF(F119+SUM(E$100:E119)=D$93,F119,D$93-SUM(E$100:E119))</f>
        <v>4021457.725163403</v>
      </c>
      <c r="E120" s="162">
        <f>IF(+J97&lt;F119,J97,D120)</f>
        <v>237086.22222222222</v>
      </c>
      <c r="F120" s="161">
        <f t="shared" si="15"/>
        <v>3784371.502941181</v>
      </c>
      <c r="G120" s="161">
        <f t="shared" si="16"/>
        <v>3902914.614052292</v>
      </c>
      <c r="H120" s="165">
        <f t="shared" si="17"/>
        <v>649087.44750618364</v>
      </c>
      <c r="I120" s="299">
        <f t="shared" si="18"/>
        <v>649087.44750618364</v>
      </c>
      <c r="J120" s="160">
        <f t="shared" si="14"/>
        <v>0</v>
      </c>
      <c r="K120" s="160"/>
      <c r="L120" s="316"/>
      <c r="M120" s="160">
        <f t="shared" si="19"/>
        <v>0</v>
      </c>
      <c r="N120" s="316"/>
      <c r="O120" s="160">
        <f t="shared" si="12"/>
        <v>0</v>
      </c>
      <c r="P120" s="160">
        <f t="shared" si="13"/>
        <v>0</v>
      </c>
      <c r="Q120" s="1"/>
      <c r="R120" s="1"/>
      <c r="S120" s="1"/>
      <c r="T120" s="1"/>
      <c r="U120" s="1"/>
    </row>
    <row r="121" spans="2:21">
      <c r="B121" t="str">
        <f t="shared" si="11"/>
        <v/>
      </c>
      <c r="C121" s="155">
        <f>IF(D94="","-",+C120+1)</f>
        <v>2036</v>
      </c>
      <c r="D121" s="156">
        <f>IF(F120+SUM(E$100:E120)=D$93,F120,D$93-SUM(E$100:E120))</f>
        <v>3784371.502941181</v>
      </c>
      <c r="E121" s="162">
        <f>IF(+J97&lt;F120,J97,D121)</f>
        <v>237086.22222222222</v>
      </c>
      <c r="F121" s="161">
        <f t="shared" si="15"/>
        <v>3547285.2807189589</v>
      </c>
      <c r="G121" s="161">
        <f t="shared" si="16"/>
        <v>3665828.3918300699</v>
      </c>
      <c r="H121" s="165">
        <f t="shared" si="17"/>
        <v>624060.04524075647</v>
      </c>
      <c r="I121" s="299">
        <f t="shared" si="18"/>
        <v>624060.04524075647</v>
      </c>
      <c r="J121" s="160">
        <f t="shared" si="14"/>
        <v>0</v>
      </c>
      <c r="K121" s="160"/>
      <c r="L121" s="316"/>
      <c r="M121" s="160">
        <f t="shared" si="19"/>
        <v>0</v>
      </c>
      <c r="N121" s="316"/>
      <c r="O121" s="160">
        <f t="shared" si="12"/>
        <v>0</v>
      </c>
      <c r="P121" s="160">
        <f t="shared" si="13"/>
        <v>0</v>
      </c>
      <c r="Q121" s="1"/>
      <c r="R121" s="1"/>
      <c r="S121" s="1"/>
      <c r="T121" s="1"/>
      <c r="U121" s="1"/>
    </row>
    <row r="122" spans="2:21">
      <c r="B122" t="str">
        <f t="shared" si="11"/>
        <v/>
      </c>
      <c r="C122" s="155">
        <f>IF(D94="","-",+C121+1)</f>
        <v>2037</v>
      </c>
      <c r="D122" s="156">
        <f>IF(F121+SUM(E$100:E121)=D$93,F121,D$93-SUM(E$100:E121))</f>
        <v>3547285.2807189589</v>
      </c>
      <c r="E122" s="162">
        <f>IF(+J97&lt;F121,J97,D122)</f>
        <v>237086.22222222222</v>
      </c>
      <c r="F122" s="161">
        <f t="shared" si="15"/>
        <v>3310199.0584967369</v>
      </c>
      <c r="G122" s="161">
        <f t="shared" si="16"/>
        <v>3428742.1696078479</v>
      </c>
      <c r="H122" s="165">
        <f t="shared" si="17"/>
        <v>599032.64297532931</v>
      </c>
      <c r="I122" s="299">
        <f t="shared" si="18"/>
        <v>599032.64297532931</v>
      </c>
      <c r="J122" s="160">
        <f t="shared" si="14"/>
        <v>0</v>
      </c>
      <c r="K122" s="160"/>
      <c r="L122" s="316"/>
      <c r="M122" s="160">
        <f t="shared" si="19"/>
        <v>0</v>
      </c>
      <c r="N122" s="316"/>
      <c r="O122" s="160">
        <f t="shared" si="12"/>
        <v>0</v>
      </c>
      <c r="P122" s="160">
        <f t="shared" si="13"/>
        <v>0</v>
      </c>
      <c r="Q122" s="1"/>
      <c r="R122" s="1"/>
      <c r="S122" s="1"/>
      <c r="T122" s="1"/>
      <c r="U122" s="1"/>
    </row>
    <row r="123" spans="2:21">
      <c r="B123" t="str">
        <f t="shared" si="11"/>
        <v/>
      </c>
      <c r="C123" s="155">
        <f>IF(D94="","-",+C122+1)</f>
        <v>2038</v>
      </c>
      <c r="D123" s="156">
        <f>IF(F122+SUM(E$100:E122)=D$93,F122,D$93-SUM(E$100:E122))</f>
        <v>3310199.0584967369</v>
      </c>
      <c r="E123" s="162">
        <f>IF(+J97&lt;F122,J97,D123)</f>
        <v>237086.22222222222</v>
      </c>
      <c r="F123" s="161">
        <f t="shared" si="15"/>
        <v>3073112.8362745149</v>
      </c>
      <c r="G123" s="161">
        <f t="shared" si="16"/>
        <v>3191655.9473856259</v>
      </c>
      <c r="H123" s="165">
        <f t="shared" si="17"/>
        <v>574005.24070990225</v>
      </c>
      <c r="I123" s="299">
        <f t="shared" si="18"/>
        <v>574005.24070990225</v>
      </c>
      <c r="J123" s="160">
        <f t="shared" si="14"/>
        <v>0</v>
      </c>
      <c r="K123" s="160"/>
      <c r="L123" s="316"/>
      <c r="M123" s="160">
        <f t="shared" si="19"/>
        <v>0</v>
      </c>
      <c r="N123" s="316"/>
      <c r="O123" s="160">
        <f t="shared" si="12"/>
        <v>0</v>
      </c>
      <c r="P123" s="160">
        <f t="shared" si="13"/>
        <v>0</v>
      </c>
      <c r="Q123" s="1"/>
      <c r="R123" s="1"/>
      <c r="S123" s="1"/>
      <c r="T123" s="1"/>
      <c r="U123" s="1"/>
    </row>
    <row r="124" spans="2:21">
      <c r="B124" t="str">
        <f t="shared" si="11"/>
        <v/>
      </c>
      <c r="C124" s="155">
        <f>IF(D94="","-",+C123+1)</f>
        <v>2039</v>
      </c>
      <c r="D124" s="156">
        <f>IF(F123+SUM(E$100:E123)=D$93,F123,D$93-SUM(E$100:E123))</f>
        <v>3073112.8362745149</v>
      </c>
      <c r="E124" s="162">
        <f>IF(+J97&lt;F123,J97,D124)</f>
        <v>237086.22222222222</v>
      </c>
      <c r="F124" s="161">
        <f t="shared" si="15"/>
        <v>2836026.6140522929</v>
      </c>
      <c r="G124" s="161">
        <f t="shared" si="16"/>
        <v>2954569.7251634039</v>
      </c>
      <c r="H124" s="165">
        <f t="shared" si="17"/>
        <v>548977.83844447508</v>
      </c>
      <c r="I124" s="299">
        <f t="shared" si="18"/>
        <v>548977.83844447508</v>
      </c>
      <c r="J124" s="160">
        <f t="shared" si="14"/>
        <v>0</v>
      </c>
      <c r="K124" s="160"/>
      <c r="L124" s="316"/>
      <c r="M124" s="160">
        <f t="shared" si="19"/>
        <v>0</v>
      </c>
      <c r="N124" s="316"/>
      <c r="O124" s="160">
        <f t="shared" si="12"/>
        <v>0</v>
      </c>
      <c r="P124" s="160">
        <f t="shared" si="13"/>
        <v>0</v>
      </c>
      <c r="Q124" s="1"/>
      <c r="R124" s="1"/>
      <c r="S124" s="1"/>
      <c r="T124" s="1"/>
      <c r="U124" s="1"/>
    </row>
    <row r="125" spans="2:21">
      <c r="B125" t="str">
        <f t="shared" si="11"/>
        <v/>
      </c>
      <c r="C125" s="155">
        <f>IF(D94="","-",+C124+1)</f>
        <v>2040</v>
      </c>
      <c r="D125" s="156">
        <f>IF(F124+SUM(E$100:E124)=D$93,F124,D$93-SUM(E$100:E124))</f>
        <v>2836026.6140522929</v>
      </c>
      <c r="E125" s="162">
        <f>IF(+J97&lt;F124,J97,D125)</f>
        <v>237086.22222222222</v>
      </c>
      <c r="F125" s="161">
        <f t="shared" si="15"/>
        <v>2598940.3918300709</v>
      </c>
      <c r="G125" s="161">
        <f t="shared" si="16"/>
        <v>2717483.5029411819</v>
      </c>
      <c r="H125" s="165">
        <f t="shared" si="17"/>
        <v>523950.43617904792</v>
      </c>
      <c r="I125" s="299">
        <f t="shared" si="18"/>
        <v>523950.43617904792</v>
      </c>
      <c r="J125" s="160">
        <f t="shared" si="14"/>
        <v>0</v>
      </c>
      <c r="K125" s="160"/>
      <c r="L125" s="316"/>
      <c r="M125" s="160">
        <f t="shared" si="19"/>
        <v>0</v>
      </c>
      <c r="N125" s="316"/>
      <c r="O125" s="160">
        <f t="shared" si="12"/>
        <v>0</v>
      </c>
      <c r="P125" s="160">
        <f t="shared" si="13"/>
        <v>0</v>
      </c>
      <c r="Q125" s="1"/>
      <c r="R125" s="1"/>
      <c r="S125" s="1"/>
      <c r="T125" s="1"/>
      <c r="U125" s="1"/>
    </row>
    <row r="126" spans="2:21">
      <c r="B126" t="str">
        <f t="shared" si="11"/>
        <v/>
      </c>
      <c r="C126" s="155">
        <f>IF(D94="","-",+C125+1)</f>
        <v>2041</v>
      </c>
      <c r="D126" s="156">
        <f>IF(F125+SUM(E$100:E125)=D$93,F125,D$93-SUM(E$100:E125))</f>
        <v>2598940.3918300709</v>
      </c>
      <c r="E126" s="162">
        <f>IF(+J97&lt;F125,J97,D126)</f>
        <v>237086.22222222222</v>
      </c>
      <c r="F126" s="161">
        <f t="shared" si="15"/>
        <v>2361854.1696078489</v>
      </c>
      <c r="G126" s="161">
        <f t="shared" si="16"/>
        <v>2480397.2807189599</v>
      </c>
      <c r="H126" s="165">
        <f t="shared" si="17"/>
        <v>498923.03391362075</v>
      </c>
      <c r="I126" s="299">
        <f t="shared" si="18"/>
        <v>498923.03391362075</v>
      </c>
      <c r="J126" s="160">
        <f t="shared" si="14"/>
        <v>0</v>
      </c>
      <c r="K126" s="160"/>
      <c r="L126" s="316"/>
      <c r="M126" s="160">
        <f t="shared" si="19"/>
        <v>0</v>
      </c>
      <c r="N126" s="316"/>
      <c r="O126" s="160">
        <f t="shared" si="12"/>
        <v>0</v>
      </c>
      <c r="P126" s="160">
        <f t="shared" si="13"/>
        <v>0</v>
      </c>
      <c r="Q126" s="1"/>
      <c r="R126" s="1"/>
      <c r="S126" s="1"/>
      <c r="T126" s="1"/>
      <c r="U126" s="1"/>
    </row>
    <row r="127" spans="2:21">
      <c r="B127" t="str">
        <f t="shared" si="11"/>
        <v/>
      </c>
      <c r="C127" s="155">
        <f>IF(D94="","-",+C126+1)</f>
        <v>2042</v>
      </c>
      <c r="D127" s="156">
        <f>IF(F126+SUM(E$100:E126)=D$93,F126,D$93-SUM(E$100:E126))</f>
        <v>2361854.1696078489</v>
      </c>
      <c r="E127" s="162">
        <f>IF(+J97&lt;F126,J97,D127)</f>
        <v>237086.22222222222</v>
      </c>
      <c r="F127" s="161">
        <f t="shared" si="15"/>
        <v>2124767.9473856268</v>
      </c>
      <c r="G127" s="161">
        <f t="shared" si="16"/>
        <v>2243311.0584967379</v>
      </c>
      <c r="H127" s="165">
        <f t="shared" si="17"/>
        <v>473895.63164819364</v>
      </c>
      <c r="I127" s="299">
        <f t="shared" si="18"/>
        <v>473895.63164819364</v>
      </c>
      <c r="J127" s="160">
        <f t="shared" si="14"/>
        <v>0</v>
      </c>
      <c r="K127" s="160"/>
      <c r="L127" s="316"/>
      <c r="M127" s="160">
        <f t="shared" si="19"/>
        <v>0</v>
      </c>
      <c r="N127" s="316"/>
      <c r="O127" s="160">
        <f t="shared" si="12"/>
        <v>0</v>
      </c>
      <c r="P127" s="160">
        <f t="shared" si="13"/>
        <v>0</v>
      </c>
      <c r="Q127" s="1"/>
      <c r="R127" s="1"/>
      <c r="S127" s="1"/>
      <c r="T127" s="1"/>
      <c r="U127" s="1"/>
    </row>
    <row r="128" spans="2:21">
      <c r="B128" t="str">
        <f t="shared" si="11"/>
        <v/>
      </c>
      <c r="C128" s="155">
        <f>IF(D94="","-",+C127+1)</f>
        <v>2043</v>
      </c>
      <c r="D128" s="156">
        <f>IF(F127+SUM(E$100:E127)=D$93,F127,D$93-SUM(E$100:E127))</f>
        <v>2124767.9473856268</v>
      </c>
      <c r="E128" s="162">
        <f>IF(+J97&lt;F127,J97,D128)</f>
        <v>237086.22222222222</v>
      </c>
      <c r="F128" s="161">
        <f t="shared" si="15"/>
        <v>1887681.7251634046</v>
      </c>
      <c r="G128" s="161">
        <f t="shared" si="16"/>
        <v>2006224.8362745158</v>
      </c>
      <c r="H128" s="165">
        <f t="shared" si="17"/>
        <v>448868.22938276653</v>
      </c>
      <c r="I128" s="299">
        <f t="shared" si="18"/>
        <v>448868.22938276653</v>
      </c>
      <c r="J128" s="160">
        <f t="shared" si="14"/>
        <v>0</v>
      </c>
      <c r="K128" s="160"/>
      <c r="L128" s="316"/>
      <c r="M128" s="160">
        <f t="shared" si="19"/>
        <v>0</v>
      </c>
      <c r="N128" s="316"/>
      <c r="O128" s="160">
        <f t="shared" si="12"/>
        <v>0</v>
      </c>
      <c r="P128" s="160">
        <f t="shared" si="13"/>
        <v>0</v>
      </c>
      <c r="Q128" s="1"/>
      <c r="R128" s="1"/>
      <c r="S128" s="1"/>
      <c r="T128" s="1"/>
      <c r="U128" s="1"/>
    </row>
    <row r="129" spans="2:21">
      <c r="B129" t="str">
        <f t="shared" si="11"/>
        <v/>
      </c>
      <c r="C129" s="155">
        <f>IF(D94="","-",+C128+1)</f>
        <v>2044</v>
      </c>
      <c r="D129" s="156">
        <f>IF(F128+SUM(E$100:E128)=D$93,F128,D$93-SUM(E$100:E128))</f>
        <v>1887681.7251634046</v>
      </c>
      <c r="E129" s="162">
        <f>IF(+J97&lt;F128,J97,D129)</f>
        <v>237086.22222222222</v>
      </c>
      <c r="F129" s="161">
        <f t="shared" si="15"/>
        <v>1650595.5029411823</v>
      </c>
      <c r="G129" s="161">
        <f t="shared" si="16"/>
        <v>1769138.6140522934</v>
      </c>
      <c r="H129" s="165">
        <f t="shared" si="17"/>
        <v>423840.8271173393</v>
      </c>
      <c r="I129" s="299">
        <f t="shared" si="18"/>
        <v>423840.8271173393</v>
      </c>
      <c r="J129" s="160">
        <f t="shared" si="14"/>
        <v>0</v>
      </c>
      <c r="K129" s="160"/>
      <c r="L129" s="316"/>
      <c r="M129" s="160">
        <f t="shared" si="19"/>
        <v>0</v>
      </c>
      <c r="N129" s="316"/>
      <c r="O129" s="160">
        <f t="shared" si="12"/>
        <v>0</v>
      </c>
      <c r="P129" s="160">
        <f t="shared" si="13"/>
        <v>0</v>
      </c>
      <c r="Q129" s="1"/>
      <c r="R129" s="1"/>
      <c r="S129" s="1"/>
      <c r="T129" s="1"/>
      <c r="U129" s="1"/>
    </row>
    <row r="130" spans="2:21">
      <c r="B130" t="str">
        <f t="shared" si="11"/>
        <v/>
      </c>
      <c r="C130" s="155">
        <f>IF(D94="","-",+C129+1)</f>
        <v>2045</v>
      </c>
      <c r="D130" s="156">
        <f>IF(F129+SUM(E$100:E129)=D$93,F129,D$93-SUM(E$100:E129))</f>
        <v>1650595.5029411823</v>
      </c>
      <c r="E130" s="162">
        <f>IF(+J97&lt;F129,J97,D130)</f>
        <v>237086.22222222222</v>
      </c>
      <c r="F130" s="161">
        <f t="shared" si="15"/>
        <v>1413509.2807189601</v>
      </c>
      <c r="G130" s="161">
        <f t="shared" si="16"/>
        <v>1532052.3918300713</v>
      </c>
      <c r="H130" s="165">
        <f t="shared" si="17"/>
        <v>398813.42485191219</v>
      </c>
      <c r="I130" s="299">
        <f t="shared" si="18"/>
        <v>398813.42485191219</v>
      </c>
      <c r="J130" s="160">
        <f t="shared" si="14"/>
        <v>0</v>
      </c>
      <c r="K130" s="160"/>
      <c r="L130" s="316"/>
      <c r="M130" s="160">
        <f t="shared" si="19"/>
        <v>0</v>
      </c>
      <c r="N130" s="316"/>
      <c r="O130" s="160">
        <f t="shared" si="12"/>
        <v>0</v>
      </c>
      <c r="P130" s="160">
        <f t="shared" si="13"/>
        <v>0</v>
      </c>
      <c r="Q130" s="1"/>
      <c r="R130" s="1"/>
      <c r="S130" s="1"/>
      <c r="T130" s="1"/>
      <c r="U130" s="1"/>
    </row>
    <row r="131" spans="2:21">
      <c r="B131" t="str">
        <f t="shared" si="11"/>
        <v/>
      </c>
      <c r="C131" s="155">
        <f>IF(D94="","-",+C130+1)</f>
        <v>2046</v>
      </c>
      <c r="D131" s="156">
        <f>IF(F130+SUM(E$100:E130)=D$93,F130,D$93-SUM(E$100:E130))</f>
        <v>1413509.2807189601</v>
      </c>
      <c r="E131" s="162">
        <f>IF(+J97&lt;F130,J97,D131)</f>
        <v>237086.22222222222</v>
      </c>
      <c r="F131" s="161">
        <f t="shared" si="15"/>
        <v>1176423.0584967379</v>
      </c>
      <c r="G131" s="161">
        <f t="shared" si="16"/>
        <v>1294966.1696078489</v>
      </c>
      <c r="H131" s="165">
        <f t="shared" si="17"/>
        <v>373786.02258648496</v>
      </c>
      <c r="I131" s="299">
        <f t="shared" si="18"/>
        <v>373786.02258648496</v>
      </c>
      <c r="J131" s="160">
        <f t="shared" si="14"/>
        <v>0</v>
      </c>
      <c r="K131" s="160"/>
      <c r="L131" s="316"/>
      <c r="M131" s="160">
        <f t="shared" si="19"/>
        <v>0</v>
      </c>
      <c r="N131" s="316"/>
      <c r="O131" s="160">
        <f t="shared" si="12"/>
        <v>0</v>
      </c>
      <c r="P131" s="160">
        <f t="shared" si="13"/>
        <v>0</v>
      </c>
      <c r="Q131" s="1"/>
      <c r="R131" s="1"/>
      <c r="S131" s="1"/>
      <c r="T131" s="1"/>
      <c r="U131" s="1"/>
    </row>
    <row r="132" spans="2:21">
      <c r="B132" t="str">
        <f t="shared" si="11"/>
        <v/>
      </c>
      <c r="C132" s="155">
        <f>IF(D94="","-",+C131+1)</f>
        <v>2047</v>
      </c>
      <c r="D132" s="156">
        <f>IF(F131+SUM(E$100:E131)=D$93,F131,D$93-SUM(E$100:E131))</f>
        <v>1176423.0584967379</v>
      </c>
      <c r="E132" s="162">
        <f>IF(+J97&lt;F131,J97,D132)</f>
        <v>237086.22222222222</v>
      </c>
      <c r="F132" s="161">
        <f t="shared" si="15"/>
        <v>939336.8362745156</v>
      </c>
      <c r="G132" s="161">
        <f t="shared" si="16"/>
        <v>1057879.9473856268</v>
      </c>
      <c r="H132" s="165">
        <f t="shared" si="17"/>
        <v>348758.62032105785</v>
      </c>
      <c r="I132" s="299">
        <f t="shared" si="18"/>
        <v>348758.62032105785</v>
      </c>
      <c r="J132" s="160">
        <f t="shared" ref="J132:J155" si="20">+I542-H542</f>
        <v>0</v>
      </c>
      <c r="K132" s="160"/>
      <c r="L132" s="316"/>
      <c r="M132" s="160">
        <f t="shared" ref="M132:M155" si="21">IF(L542&lt;&gt;0,+H542-L542,0)</f>
        <v>0</v>
      </c>
      <c r="N132" s="316"/>
      <c r="O132" s="160">
        <f t="shared" ref="O132:O155" si="22">IF(N542&lt;&gt;0,+I542-N542,0)</f>
        <v>0</v>
      </c>
      <c r="P132" s="160">
        <f t="shared" ref="P132:P155" si="23">+O542-M542</f>
        <v>0</v>
      </c>
      <c r="Q132" s="1"/>
      <c r="R132" s="1"/>
      <c r="S132" s="1"/>
      <c r="T132" s="1"/>
      <c r="U132" s="1"/>
    </row>
    <row r="133" spans="2:21">
      <c r="B133" t="str">
        <f t="shared" si="11"/>
        <v/>
      </c>
      <c r="C133" s="155">
        <f>IF(D94="","-",+C132+1)</f>
        <v>2048</v>
      </c>
      <c r="D133" s="156">
        <f>IF(F132+SUM(E$100:E132)=D$93,F132,D$93-SUM(E$100:E132))</f>
        <v>939336.8362745156</v>
      </c>
      <c r="E133" s="162">
        <f>IF(+J97&lt;F132,J97,D133)</f>
        <v>237086.22222222222</v>
      </c>
      <c r="F133" s="161">
        <f t="shared" si="15"/>
        <v>702250.61405229336</v>
      </c>
      <c r="G133" s="161">
        <f t="shared" si="16"/>
        <v>820793.72516340448</v>
      </c>
      <c r="H133" s="165">
        <f t="shared" si="17"/>
        <v>323731.21805563068</v>
      </c>
      <c r="I133" s="299">
        <f t="shared" si="18"/>
        <v>323731.21805563068</v>
      </c>
      <c r="J133" s="160">
        <f t="shared" si="20"/>
        <v>0</v>
      </c>
      <c r="K133" s="160"/>
      <c r="L133" s="316"/>
      <c r="M133" s="160">
        <f t="shared" si="21"/>
        <v>0</v>
      </c>
      <c r="N133" s="316"/>
      <c r="O133" s="160">
        <f t="shared" si="22"/>
        <v>0</v>
      </c>
      <c r="P133" s="160">
        <f t="shared" si="23"/>
        <v>0</v>
      </c>
      <c r="Q133" s="1"/>
      <c r="R133" s="1"/>
      <c r="S133" s="1"/>
      <c r="T133" s="1"/>
      <c r="U133" s="1"/>
    </row>
    <row r="134" spans="2:21">
      <c r="B134" t="str">
        <f t="shared" si="11"/>
        <v/>
      </c>
      <c r="C134" s="155">
        <f>IF(D94="","-",+C133+1)</f>
        <v>2049</v>
      </c>
      <c r="D134" s="156">
        <f>IF(F133+SUM(E$100:E133)=D$93,F133,D$93-SUM(E$100:E133))</f>
        <v>702250.61405229336</v>
      </c>
      <c r="E134" s="162">
        <f>IF(+J97&lt;F133,J97,D134)</f>
        <v>237086.22222222222</v>
      </c>
      <c r="F134" s="161">
        <f t="shared" si="15"/>
        <v>465164.39183007111</v>
      </c>
      <c r="G134" s="161">
        <f t="shared" si="16"/>
        <v>583707.50294118223</v>
      </c>
      <c r="H134" s="165">
        <f t="shared" si="17"/>
        <v>298703.81579020352</v>
      </c>
      <c r="I134" s="299">
        <f t="shared" si="18"/>
        <v>298703.81579020352</v>
      </c>
      <c r="J134" s="160">
        <f t="shared" si="20"/>
        <v>0</v>
      </c>
      <c r="K134" s="160"/>
      <c r="L134" s="316"/>
      <c r="M134" s="160">
        <f t="shared" si="21"/>
        <v>0</v>
      </c>
      <c r="N134" s="316"/>
      <c r="O134" s="160">
        <f t="shared" si="22"/>
        <v>0</v>
      </c>
      <c r="P134" s="160">
        <f t="shared" si="23"/>
        <v>0</v>
      </c>
      <c r="Q134" s="1"/>
      <c r="R134" s="1"/>
      <c r="S134" s="1"/>
      <c r="T134" s="1"/>
      <c r="U134" s="1"/>
    </row>
    <row r="135" spans="2:21">
      <c r="B135" t="str">
        <f t="shared" si="11"/>
        <v/>
      </c>
      <c r="C135" s="155">
        <f>IF(D94="","-",+C134+1)</f>
        <v>2050</v>
      </c>
      <c r="D135" s="156">
        <f>IF(F134+SUM(E$100:E134)=D$93,F134,D$93-SUM(E$100:E134))</f>
        <v>465164.39183007111</v>
      </c>
      <c r="E135" s="162">
        <f>IF(+J97&lt;F134,J97,D135)</f>
        <v>237086.22222222222</v>
      </c>
      <c r="F135" s="161">
        <f t="shared" si="15"/>
        <v>228078.16960784889</v>
      </c>
      <c r="G135" s="161">
        <f t="shared" si="16"/>
        <v>346621.28071895998</v>
      </c>
      <c r="H135" s="165">
        <f t="shared" si="17"/>
        <v>273676.41352477635</v>
      </c>
      <c r="I135" s="299">
        <f t="shared" si="18"/>
        <v>273676.41352477635</v>
      </c>
      <c r="J135" s="160">
        <f t="shared" si="20"/>
        <v>0</v>
      </c>
      <c r="K135" s="160"/>
      <c r="L135" s="316"/>
      <c r="M135" s="160">
        <f t="shared" si="21"/>
        <v>0</v>
      </c>
      <c r="N135" s="316"/>
      <c r="O135" s="160">
        <f t="shared" si="22"/>
        <v>0</v>
      </c>
      <c r="P135" s="160">
        <f t="shared" si="23"/>
        <v>0</v>
      </c>
      <c r="Q135" s="1"/>
      <c r="R135" s="1"/>
      <c r="S135" s="1"/>
      <c r="T135" s="1"/>
      <c r="U135" s="1"/>
    </row>
    <row r="136" spans="2:21">
      <c r="B136" t="str">
        <f t="shared" si="11"/>
        <v/>
      </c>
      <c r="C136" s="155">
        <f>IF(D94="","-",+C135+1)</f>
        <v>2051</v>
      </c>
      <c r="D136" s="156">
        <f>IF(F135+SUM(E$100:E135)=D$93,F135,D$93-SUM(E$100:E135))</f>
        <v>228078.16960784889</v>
      </c>
      <c r="E136" s="162">
        <f>IF(+J97&lt;F135,J97,D136)</f>
        <v>228078.16960784889</v>
      </c>
      <c r="F136" s="161">
        <f t="shared" si="15"/>
        <v>0</v>
      </c>
      <c r="G136" s="161">
        <f t="shared" si="16"/>
        <v>114039.08480392444</v>
      </c>
      <c r="H136" s="165">
        <f t="shared" si="17"/>
        <v>240116.41469276915</v>
      </c>
      <c r="I136" s="299">
        <f t="shared" si="18"/>
        <v>240116.41469276915</v>
      </c>
      <c r="J136" s="160">
        <f t="shared" si="20"/>
        <v>0</v>
      </c>
      <c r="K136" s="160"/>
      <c r="L136" s="316"/>
      <c r="M136" s="160">
        <f t="shared" si="21"/>
        <v>0</v>
      </c>
      <c r="N136" s="316"/>
      <c r="O136" s="160">
        <f t="shared" si="22"/>
        <v>0</v>
      </c>
      <c r="P136" s="160">
        <f t="shared" si="23"/>
        <v>0</v>
      </c>
      <c r="Q136" s="1"/>
      <c r="R136" s="1"/>
      <c r="S136" s="1"/>
      <c r="T136" s="1"/>
      <c r="U136" s="1"/>
    </row>
    <row r="137" spans="2:21">
      <c r="B137" t="str">
        <f t="shared" si="11"/>
        <v/>
      </c>
      <c r="C137" s="155">
        <f>IF(D94="","-",+C136+1)</f>
        <v>2052</v>
      </c>
      <c r="D137" s="156">
        <f>IF(F136+SUM(E$100:E136)=D$93,F136,D$93-SUM(E$100:E136))</f>
        <v>0</v>
      </c>
      <c r="E137" s="162">
        <f>IF(+J97&lt;F136,J97,D137)</f>
        <v>0</v>
      </c>
      <c r="F137" s="161">
        <f t="shared" si="15"/>
        <v>0</v>
      </c>
      <c r="G137" s="161">
        <f t="shared" si="16"/>
        <v>0</v>
      </c>
      <c r="H137" s="165">
        <f t="shared" si="17"/>
        <v>0</v>
      </c>
      <c r="I137" s="299">
        <f t="shared" si="18"/>
        <v>0</v>
      </c>
      <c r="J137" s="160">
        <f t="shared" si="20"/>
        <v>0</v>
      </c>
      <c r="K137" s="160"/>
      <c r="L137" s="316"/>
      <c r="M137" s="160">
        <f t="shared" si="21"/>
        <v>0</v>
      </c>
      <c r="N137" s="316"/>
      <c r="O137" s="160">
        <f t="shared" si="22"/>
        <v>0</v>
      </c>
      <c r="P137" s="160">
        <f t="shared" si="23"/>
        <v>0</v>
      </c>
      <c r="Q137" s="1"/>
      <c r="R137" s="1"/>
      <c r="S137" s="1"/>
      <c r="T137" s="1"/>
      <c r="U137" s="1"/>
    </row>
    <row r="138" spans="2:21">
      <c r="B138" t="str">
        <f t="shared" si="11"/>
        <v/>
      </c>
      <c r="C138" s="155">
        <f>IF(D94="","-",+C137+1)</f>
        <v>2053</v>
      </c>
      <c r="D138" s="156">
        <f>IF(F137+SUM(E$100:E137)=D$93,F137,D$93-SUM(E$100:E137))</f>
        <v>0</v>
      </c>
      <c r="E138" s="162">
        <f>IF(+J97&lt;F137,J97,D138)</f>
        <v>0</v>
      </c>
      <c r="F138" s="161">
        <f t="shared" si="15"/>
        <v>0</v>
      </c>
      <c r="G138" s="161">
        <f t="shared" si="16"/>
        <v>0</v>
      </c>
      <c r="H138" s="165">
        <f t="shared" si="17"/>
        <v>0</v>
      </c>
      <c r="I138" s="299">
        <f t="shared" si="18"/>
        <v>0</v>
      </c>
      <c r="J138" s="160">
        <f t="shared" si="20"/>
        <v>0</v>
      </c>
      <c r="K138" s="160"/>
      <c r="L138" s="316"/>
      <c r="M138" s="160">
        <f t="shared" si="21"/>
        <v>0</v>
      </c>
      <c r="N138" s="316"/>
      <c r="O138" s="160">
        <f t="shared" si="22"/>
        <v>0</v>
      </c>
      <c r="P138" s="160">
        <f t="shared" si="23"/>
        <v>0</v>
      </c>
      <c r="Q138" s="1"/>
      <c r="R138" s="1"/>
      <c r="S138" s="1"/>
      <c r="T138" s="1"/>
      <c r="U138" s="1"/>
    </row>
    <row r="139" spans="2:21">
      <c r="B139" t="str">
        <f t="shared" si="11"/>
        <v/>
      </c>
      <c r="C139" s="155">
        <f>IF(D94="","-",+C138+1)</f>
        <v>2054</v>
      </c>
      <c r="D139" s="156">
        <f>IF(F138+SUM(E$100:E138)=D$93,F138,D$93-SUM(E$100:E138))</f>
        <v>0</v>
      </c>
      <c r="E139" s="162">
        <f>IF(+J97&lt;F138,J97,D139)</f>
        <v>0</v>
      </c>
      <c r="F139" s="161">
        <f t="shared" si="15"/>
        <v>0</v>
      </c>
      <c r="G139" s="161">
        <f t="shared" si="16"/>
        <v>0</v>
      </c>
      <c r="H139" s="165">
        <f t="shared" si="17"/>
        <v>0</v>
      </c>
      <c r="I139" s="299">
        <f t="shared" si="18"/>
        <v>0</v>
      </c>
      <c r="J139" s="160">
        <f t="shared" si="20"/>
        <v>0</v>
      </c>
      <c r="K139" s="160"/>
      <c r="L139" s="316"/>
      <c r="M139" s="160">
        <f t="shared" si="21"/>
        <v>0</v>
      </c>
      <c r="N139" s="316"/>
      <c r="O139" s="160">
        <f t="shared" si="22"/>
        <v>0</v>
      </c>
      <c r="P139" s="160">
        <f t="shared" si="23"/>
        <v>0</v>
      </c>
      <c r="Q139" s="1"/>
      <c r="R139" s="1"/>
      <c r="S139" s="1"/>
      <c r="T139" s="1"/>
      <c r="U139" s="1"/>
    </row>
    <row r="140" spans="2:21">
      <c r="B140" t="str">
        <f t="shared" si="11"/>
        <v/>
      </c>
      <c r="C140" s="155">
        <f>IF(D94="","-",+C139+1)</f>
        <v>2055</v>
      </c>
      <c r="D140" s="156">
        <f>IF(F139+SUM(E$100:E139)=D$93,F139,D$93-SUM(E$100:E139))</f>
        <v>0</v>
      </c>
      <c r="E140" s="162">
        <f>IF(+J97&lt;F139,J97,D140)</f>
        <v>0</v>
      </c>
      <c r="F140" s="161">
        <f t="shared" si="15"/>
        <v>0</v>
      </c>
      <c r="G140" s="161">
        <f t="shared" si="16"/>
        <v>0</v>
      </c>
      <c r="H140" s="165">
        <f t="shared" si="17"/>
        <v>0</v>
      </c>
      <c r="I140" s="299">
        <f t="shared" si="18"/>
        <v>0</v>
      </c>
      <c r="J140" s="160">
        <f t="shared" si="20"/>
        <v>0</v>
      </c>
      <c r="K140" s="160"/>
      <c r="L140" s="316"/>
      <c r="M140" s="160">
        <f t="shared" si="21"/>
        <v>0</v>
      </c>
      <c r="N140" s="316"/>
      <c r="O140" s="160">
        <f t="shared" si="22"/>
        <v>0</v>
      </c>
      <c r="P140" s="160">
        <f t="shared" si="23"/>
        <v>0</v>
      </c>
      <c r="Q140" s="1"/>
      <c r="R140" s="1"/>
      <c r="S140" s="1"/>
      <c r="T140" s="1"/>
      <c r="U140" s="1"/>
    </row>
    <row r="141" spans="2:21">
      <c r="B141" t="str">
        <f t="shared" si="11"/>
        <v/>
      </c>
      <c r="C141" s="155">
        <f>IF(D94="","-",+C140+1)</f>
        <v>2056</v>
      </c>
      <c r="D141" s="156">
        <f>IF(F140+SUM(E$100:E140)=D$93,F140,D$93-SUM(E$100:E140))</f>
        <v>0</v>
      </c>
      <c r="E141" s="162">
        <f>IF(+J97&lt;F140,J97,D141)</f>
        <v>0</v>
      </c>
      <c r="F141" s="161">
        <f t="shared" si="15"/>
        <v>0</v>
      </c>
      <c r="G141" s="161">
        <f t="shared" si="16"/>
        <v>0</v>
      </c>
      <c r="H141" s="165">
        <f t="shared" si="17"/>
        <v>0</v>
      </c>
      <c r="I141" s="299">
        <f t="shared" si="18"/>
        <v>0</v>
      </c>
      <c r="J141" s="160">
        <f t="shared" si="20"/>
        <v>0</v>
      </c>
      <c r="K141" s="160"/>
      <c r="L141" s="316"/>
      <c r="M141" s="160">
        <f t="shared" si="21"/>
        <v>0</v>
      </c>
      <c r="N141" s="316"/>
      <c r="O141" s="160">
        <f t="shared" si="22"/>
        <v>0</v>
      </c>
      <c r="P141" s="160">
        <f t="shared" si="23"/>
        <v>0</v>
      </c>
      <c r="Q141" s="1"/>
      <c r="R141" s="1"/>
      <c r="S141" s="1"/>
      <c r="T141" s="1"/>
      <c r="U141" s="1"/>
    </row>
    <row r="142" spans="2:21">
      <c r="B142" t="str">
        <f t="shared" si="11"/>
        <v/>
      </c>
      <c r="C142" s="155">
        <f>IF(D94="","-",+C141+1)</f>
        <v>2057</v>
      </c>
      <c r="D142" s="156">
        <f>IF(F141+SUM(E$100:E141)=D$93,F141,D$93-SUM(E$100:E141))</f>
        <v>0</v>
      </c>
      <c r="E142" s="162">
        <f>IF(+J97&lt;F141,J97,D142)</f>
        <v>0</v>
      </c>
      <c r="F142" s="161">
        <f t="shared" si="15"/>
        <v>0</v>
      </c>
      <c r="G142" s="161">
        <f t="shared" si="16"/>
        <v>0</v>
      </c>
      <c r="H142" s="165">
        <f t="shared" si="17"/>
        <v>0</v>
      </c>
      <c r="I142" s="299">
        <f t="shared" si="18"/>
        <v>0</v>
      </c>
      <c r="J142" s="160">
        <f t="shared" si="20"/>
        <v>0</v>
      </c>
      <c r="K142" s="160"/>
      <c r="L142" s="316"/>
      <c r="M142" s="160">
        <f t="shared" si="21"/>
        <v>0</v>
      </c>
      <c r="N142" s="316"/>
      <c r="O142" s="160">
        <f t="shared" si="22"/>
        <v>0</v>
      </c>
      <c r="P142" s="160">
        <f t="shared" si="23"/>
        <v>0</v>
      </c>
      <c r="Q142" s="1"/>
      <c r="R142" s="1"/>
      <c r="S142" s="1"/>
      <c r="T142" s="1"/>
      <c r="U142" s="1"/>
    </row>
    <row r="143" spans="2:21">
      <c r="B143" t="str">
        <f t="shared" si="11"/>
        <v/>
      </c>
      <c r="C143" s="155">
        <f>IF(D94="","-",+C142+1)</f>
        <v>2058</v>
      </c>
      <c r="D143" s="156">
        <f>IF(F142+SUM(E$100:E142)=D$93,F142,D$93-SUM(E$100:E142))</f>
        <v>0</v>
      </c>
      <c r="E143" s="162">
        <f>IF(+J97&lt;F142,J97,D143)</f>
        <v>0</v>
      </c>
      <c r="F143" s="161">
        <f t="shared" si="15"/>
        <v>0</v>
      </c>
      <c r="G143" s="161">
        <f t="shared" si="16"/>
        <v>0</v>
      </c>
      <c r="H143" s="165">
        <f t="shared" si="17"/>
        <v>0</v>
      </c>
      <c r="I143" s="299">
        <f t="shared" si="18"/>
        <v>0</v>
      </c>
      <c r="J143" s="160">
        <f t="shared" si="20"/>
        <v>0</v>
      </c>
      <c r="K143" s="160"/>
      <c r="L143" s="316"/>
      <c r="M143" s="160">
        <f t="shared" si="21"/>
        <v>0</v>
      </c>
      <c r="N143" s="316"/>
      <c r="O143" s="160">
        <f t="shared" si="22"/>
        <v>0</v>
      </c>
      <c r="P143" s="160">
        <f t="shared" si="23"/>
        <v>0</v>
      </c>
      <c r="Q143" s="1"/>
      <c r="R143" s="1"/>
      <c r="S143" s="1"/>
      <c r="T143" s="1"/>
      <c r="U143" s="1"/>
    </row>
    <row r="144" spans="2:21">
      <c r="B144" t="str">
        <f t="shared" si="11"/>
        <v/>
      </c>
      <c r="C144" s="155">
        <f>IF(D94="","-",+C143+1)</f>
        <v>2059</v>
      </c>
      <c r="D144" s="156">
        <f>IF(F143+SUM(E$100:E143)=D$93,F143,D$93-SUM(E$100:E143))</f>
        <v>0</v>
      </c>
      <c r="E144" s="162">
        <f>IF(+J97&lt;F143,J97,D144)</f>
        <v>0</v>
      </c>
      <c r="F144" s="161">
        <f t="shared" si="15"/>
        <v>0</v>
      </c>
      <c r="G144" s="161">
        <f t="shared" si="16"/>
        <v>0</v>
      </c>
      <c r="H144" s="165">
        <f t="shared" si="17"/>
        <v>0</v>
      </c>
      <c r="I144" s="299">
        <f t="shared" si="18"/>
        <v>0</v>
      </c>
      <c r="J144" s="160">
        <f t="shared" si="20"/>
        <v>0</v>
      </c>
      <c r="K144" s="160"/>
      <c r="L144" s="316"/>
      <c r="M144" s="160">
        <f t="shared" si="21"/>
        <v>0</v>
      </c>
      <c r="N144" s="316"/>
      <c r="O144" s="160">
        <f t="shared" si="22"/>
        <v>0</v>
      </c>
      <c r="P144" s="160">
        <f t="shared" si="23"/>
        <v>0</v>
      </c>
      <c r="Q144" s="1"/>
      <c r="R144" s="1"/>
      <c r="S144" s="1"/>
      <c r="T144" s="1"/>
      <c r="U144" s="1"/>
    </row>
    <row r="145" spans="2:21">
      <c r="B145" t="str">
        <f t="shared" si="11"/>
        <v/>
      </c>
      <c r="C145" s="155">
        <f>IF(D94="","-",+C144+1)</f>
        <v>2060</v>
      </c>
      <c r="D145" s="156">
        <f>IF(F144+SUM(E$100:E144)=D$93,F144,D$93-SUM(E$100:E144))</f>
        <v>0</v>
      </c>
      <c r="E145" s="162">
        <f>IF(+J97&lt;F144,J97,D145)</f>
        <v>0</v>
      </c>
      <c r="F145" s="161">
        <f t="shared" si="15"/>
        <v>0</v>
      </c>
      <c r="G145" s="161">
        <f t="shared" si="16"/>
        <v>0</v>
      </c>
      <c r="H145" s="165">
        <f t="shared" si="17"/>
        <v>0</v>
      </c>
      <c r="I145" s="299">
        <f t="shared" si="18"/>
        <v>0</v>
      </c>
      <c r="J145" s="160">
        <f t="shared" si="20"/>
        <v>0</v>
      </c>
      <c r="K145" s="160"/>
      <c r="L145" s="316"/>
      <c r="M145" s="160">
        <f t="shared" si="21"/>
        <v>0</v>
      </c>
      <c r="N145" s="316"/>
      <c r="O145" s="160">
        <f t="shared" si="22"/>
        <v>0</v>
      </c>
      <c r="P145" s="160">
        <f t="shared" si="23"/>
        <v>0</v>
      </c>
      <c r="Q145" s="1"/>
      <c r="R145" s="1"/>
      <c r="S145" s="1"/>
      <c r="T145" s="1"/>
      <c r="U145" s="1"/>
    </row>
    <row r="146" spans="2:21">
      <c r="B146" t="str">
        <f t="shared" si="11"/>
        <v/>
      </c>
      <c r="C146" s="155">
        <f>IF(D94="","-",+C145+1)</f>
        <v>2061</v>
      </c>
      <c r="D146" s="156">
        <f>IF(F145+SUM(E$100:E145)=D$93,F145,D$93-SUM(E$100:E145))</f>
        <v>0</v>
      </c>
      <c r="E146" s="162">
        <f>IF(+J97&lt;F145,J97,D146)</f>
        <v>0</v>
      </c>
      <c r="F146" s="161">
        <f t="shared" si="15"/>
        <v>0</v>
      </c>
      <c r="G146" s="161">
        <f t="shared" si="16"/>
        <v>0</v>
      </c>
      <c r="H146" s="165">
        <f t="shared" si="17"/>
        <v>0</v>
      </c>
      <c r="I146" s="299">
        <f t="shared" si="18"/>
        <v>0</v>
      </c>
      <c r="J146" s="160">
        <f t="shared" si="20"/>
        <v>0</v>
      </c>
      <c r="K146" s="160"/>
      <c r="L146" s="316"/>
      <c r="M146" s="160">
        <f t="shared" si="21"/>
        <v>0</v>
      </c>
      <c r="N146" s="316"/>
      <c r="O146" s="160">
        <f t="shared" si="22"/>
        <v>0</v>
      </c>
      <c r="P146" s="160">
        <f t="shared" si="23"/>
        <v>0</v>
      </c>
      <c r="Q146" s="1"/>
      <c r="R146" s="1"/>
      <c r="S146" s="1"/>
      <c r="T146" s="1"/>
      <c r="U146" s="1"/>
    </row>
    <row r="147" spans="2:21">
      <c r="B147" t="str">
        <f t="shared" si="11"/>
        <v/>
      </c>
      <c r="C147" s="155">
        <f>IF(D94="","-",+C146+1)</f>
        <v>2062</v>
      </c>
      <c r="D147" s="156">
        <f>IF(F146+SUM(E$100:E146)=D$93,F146,D$93-SUM(E$100:E146))</f>
        <v>0</v>
      </c>
      <c r="E147" s="162">
        <f>IF(+J97&lt;F146,J97,D147)</f>
        <v>0</v>
      </c>
      <c r="F147" s="161">
        <f t="shared" si="15"/>
        <v>0</v>
      </c>
      <c r="G147" s="161">
        <f t="shared" si="16"/>
        <v>0</v>
      </c>
      <c r="H147" s="165">
        <f t="shared" si="17"/>
        <v>0</v>
      </c>
      <c r="I147" s="299">
        <f t="shared" si="18"/>
        <v>0</v>
      </c>
      <c r="J147" s="160">
        <f t="shared" si="20"/>
        <v>0</v>
      </c>
      <c r="K147" s="160"/>
      <c r="L147" s="316"/>
      <c r="M147" s="160">
        <f t="shared" si="21"/>
        <v>0</v>
      </c>
      <c r="N147" s="316"/>
      <c r="O147" s="160">
        <f t="shared" si="22"/>
        <v>0</v>
      </c>
      <c r="P147" s="160">
        <f t="shared" si="23"/>
        <v>0</v>
      </c>
      <c r="Q147" s="1"/>
      <c r="R147" s="1"/>
      <c r="S147" s="1"/>
      <c r="T147" s="1"/>
      <c r="U147" s="1"/>
    </row>
    <row r="148" spans="2:21">
      <c r="B148" t="str">
        <f t="shared" si="11"/>
        <v/>
      </c>
      <c r="C148" s="155">
        <f>IF(D94="","-",+C147+1)</f>
        <v>2063</v>
      </c>
      <c r="D148" s="156">
        <f>IF(F147+SUM(E$100:E147)=D$93,F147,D$93-SUM(E$100:E147))</f>
        <v>0</v>
      </c>
      <c r="E148" s="162">
        <f>IF(+J97&lt;F147,J97,D148)</f>
        <v>0</v>
      </c>
      <c r="F148" s="161">
        <f t="shared" si="15"/>
        <v>0</v>
      </c>
      <c r="G148" s="161">
        <f t="shared" si="16"/>
        <v>0</v>
      </c>
      <c r="H148" s="165">
        <f t="shared" si="17"/>
        <v>0</v>
      </c>
      <c r="I148" s="299">
        <f t="shared" si="18"/>
        <v>0</v>
      </c>
      <c r="J148" s="160">
        <f t="shared" si="20"/>
        <v>0</v>
      </c>
      <c r="K148" s="160"/>
      <c r="L148" s="316"/>
      <c r="M148" s="160">
        <f t="shared" si="21"/>
        <v>0</v>
      </c>
      <c r="N148" s="316"/>
      <c r="O148" s="160">
        <f t="shared" si="22"/>
        <v>0</v>
      </c>
      <c r="P148" s="160">
        <f t="shared" si="23"/>
        <v>0</v>
      </c>
      <c r="Q148" s="1"/>
      <c r="R148" s="1"/>
      <c r="S148" s="1"/>
      <c r="T148" s="1"/>
      <c r="U148" s="1"/>
    </row>
    <row r="149" spans="2:21">
      <c r="B149" t="str">
        <f t="shared" si="11"/>
        <v/>
      </c>
      <c r="C149" s="155">
        <f>IF(D94="","-",+C148+1)</f>
        <v>2064</v>
      </c>
      <c r="D149" s="156">
        <f>IF(F148+SUM(E$100:E148)=D$93,F148,D$93-SUM(E$100:E148))</f>
        <v>0</v>
      </c>
      <c r="E149" s="162">
        <f>IF(+J97&lt;F148,J97,D149)</f>
        <v>0</v>
      </c>
      <c r="F149" s="161">
        <f t="shared" si="15"/>
        <v>0</v>
      </c>
      <c r="G149" s="161">
        <f t="shared" si="16"/>
        <v>0</v>
      </c>
      <c r="H149" s="165">
        <f t="shared" si="17"/>
        <v>0</v>
      </c>
      <c r="I149" s="299">
        <f t="shared" si="18"/>
        <v>0</v>
      </c>
      <c r="J149" s="160">
        <f t="shared" si="20"/>
        <v>0</v>
      </c>
      <c r="K149" s="160"/>
      <c r="L149" s="316"/>
      <c r="M149" s="160">
        <f t="shared" si="21"/>
        <v>0</v>
      </c>
      <c r="N149" s="316"/>
      <c r="O149" s="160">
        <f t="shared" si="22"/>
        <v>0</v>
      </c>
      <c r="P149" s="160">
        <f t="shared" si="23"/>
        <v>0</v>
      </c>
      <c r="Q149" s="1"/>
      <c r="R149" s="1"/>
      <c r="S149" s="1"/>
      <c r="T149" s="1"/>
      <c r="U149" s="1"/>
    </row>
    <row r="150" spans="2:21">
      <c r="B150" t="str">
        <f t="shared" si="11"/>
        <v/>
      </c>
      <c r="C150" s="155">
        <f>IF(D94="","-",+C149+1)</f>
        <v>2065</v>
      </c>
      <c r="D150" s="156">
        <f>IF(F149+SUM(E$100:E149)=D$93,F149,D$93-SUM(E$100:E149))</f>
        <v>0</v>
      </c>
      <c r="E150" s="162">
        <f>IF(+J97&lt;F149,J97,D150)</f>
        <v>0</v>
      </c>
      <c r="F150" s="161">
        <f t="shared" si="15"/>
        <v>0</v>
      </c>
      <c r="G150" s="161">
        <f t="shared" si="16"/>
        <v>0</v>
      </c>
      <c r="H150" s="165">
        <f t="shared" si="17"/>
        <v>0</v>
      </c>
      <c r="I150" s="299">
        <f t="shared" si="18"/>
        <v>0</v>
      </c>
      <c r="J150" s="160">
        <f t="shared" si="20"/>
        <v>0</v>
      </c>
      <c r="K150" s="160"/>
      <c r="L150" s="316"/>
      <c r="M150" s="160">
        <f t="shared" si="21"/>
        <v>0</v>
      </c>
      <c r="N150" s="316"/>
      <c r="O150" s="160">
        <f t="shared" si="22"/>
        <v>0</v>
      </c>
      <c r="P150" s="160">
        <f t="shared" si="23"/>
        <v>0</v>
      </c>
      <c r="Q150" s="1"/>
      <c r="R150" s="1"/>
      <c r="S150" s="1"/>
      <c r="T150" s="1"/>
      <c r="U150" s="1"/>
    </row>
    <row r="151" spans="2:21">
      <c r="B151" t="str">
        <f t="shared" si="11"/>
        <v/>
      </c>
      <c r="C151" s="155">
        <f>IF(D94="","-",+C150+1)</f>
        <v>2066</v>
      </c>
      <c r="D151" s="156">
        <f>IF(F150+SUM(E$100:E150)=D$93,F150,D$93-SUM(E$100:E150))</f>
        <v>0</v>
      </c>
      <c r="E151" s="162">
        <f>IF(+J97&lt;F150,J97,D151)</f>
        <v>0</v>
      </c>
      <c r="F151" s="161">
        <f t="shared" si="15"/>
        <v>0</v>
      </c>
      <c r="G151" s="161">
        <f t="shared" si="16"/>
        <v>0</v>
      </c>
      <c r="H151" s="165">
        <f t="shared" si="17"/>
        <v>0</v>
      </c>
      <c r="I151" s="299">
        <f t="shared" si="18"/>
        <v>0</v>
      </c>
      <c r="J151" s="160">
        <f t="shared" si="20"/>
        <v>0</v>
      </c>
      <c r="K151" s="160"/>
      <c r="L151" s="316"/>
      <c r="M151" s="160">
        <f t="shared" si="21"/>
        <v>0</v>
      </c>
      <c r="N151" s="316"/>
      <c r="O151" s="160">
        <f t="shared" si="22"/>
        <v>0</v>
      </c>
      <c r="P151" s="160">
        <f t="shared" si="23"/>
        <v>0</v>
      </c>
      <c r="Q151" s="1"/>
      <c r="R151" s="1"/>
      <c r="S151" s="1"/>
      <c r="T151" s="1"/>
      <c r="U151" s="1"/>
    </row>
    <row r="152" spans="2:21">
      <c r="B152" t="str">
        <f t="shared" si="11"/>
        <v/>
      </c>
      <c r="C152" s="155">
        <f>IF(D94="","-",+C151+1)</f>
        <v>2067</v>
      </c>
      <c r="D152" s="156">
        <f>IF(F151+SUM(E$100:E151)=D$93,F151,D$93-SUM(E$100:E151))</f>
        <v>0</v>
      </c>
      <c r="E152" s="162">
        <f>IF(+J97&lt;F151,J97,D152)</f>
        <v>0</v>
      </c>
      <c r="F152" s="161">
        <f t="shared" si="15"/>
        <v>0</v>
      </c>
      <c r="G152" s="161">
        <f t="shared" si="16"/>
        <v>0</v>
      </c>
      <c r="H152" s="165">
        <f t="shared" si="17"/>
        <v>0</v>
      </c>
      <c r="I152" s="299">
        <f t="shared" si="18"/>
        <v>0</v>
      </c>
      <c r="J152" s="160">
        <f t="shared" si="20"/>
        <v>0</v>
      </c>
      <c r="K152" s="160"/>
      <c r="L152" s="316"/>
      <c r="M152" s="160">
        <f t="shared" si="21"/>
        <v>0</v>
      </c>
      <c r="N152" s="316"/>
      <c r="O152" s="160">
        <f t="shared" si="22"/>
        <v>0</v>
      </c>
      <c r="P152" s="160">
        <f t="shared" si="23"/>
        <v>0</v>
      </c>
      <c r="Q152" s="1"/>
      <c r="R152" s="1"/>
      <c r="S152" s="1"/>
      <c r="T152" s="1"/>
      <c r="U152" s="1"/>
    </row>
    <row r="153" spans="2:21">
      <c r="B153" t="str">
        <f t="shared" si="11"/>
        <v/>
      </c>
      <c r="C153" s="155">
        <f>IF(D94="","-",+C152+1)</f>
        <v>2068</v>
      </c>
      <c r="D153" s="156">
        <f>IF(F152+SUM(E$100:E152)=D$93,F152,D$93-SUM(E$100:E152))</f>
        <v>0</v>
      </c>
      <c r="E153" s="162">
        <f>IF(+J97&lt;F152,J97,D153)</f>
        <v>0</v>
      </c>
      <c r="F153" s="161">
        <f t="shared" si="15"/>
        <v>0</v>
      </c>
      <c r="G153" s="161">
        <f t="shared" si="16"/>
        <v>0</v>
      </c>
      <c r="H153" s="165">
        <f t="shared" si="17"/>
        <v>0</v>
      </c>
      <c r="I153" s="299">
        <f t="shared" si="18"/>
        <v>0</v>
      </c>
      <c r="J153" s="160">
        <f t="shared" si="20"/>
        <v>0</v>
      </c>
      <c r="K153" s="160"/>
      <c r="L153" s="316"/>
      <c r="M153" s="160">
        <f t="shared" si="21"/>
        <v>0</v>
      </c>
      <c r="N153" s="316"/>
      <c r="O153" s="160">
        <f t="shared" si="22"/>
        <v>0</v>
      </c>
      <c r="P153" s="160">
        <f t="shared" si="23"/>
        <v>0</v>
      </c>
      <c r="Q153" s="1"/>
      <c r="R153" s="1"/>
      <c r="S153" s="1"/>
      <c r="T153" s="1"/>
      <c r="U153" s="1"/>
    </row>
    <row r="154" spans="2:21">
      <c r="B154" t="str">
        <f t="shared" si="11"/>
        <v/>
      </c>
      <c r="C154" s="155">
        <f>IF(D94="","-",+C153+1)</f>
        <v>2069</v>
      </c>
      <c r="D154" s="156">
        <f>IF(F153+SUM(E$100:E153)=D$93,F153,D$93-SUM(E$100:E153))</f>
        <v>0</v>
      </c>
      <c r="E154" s="162">
        <f>IF(+J97&lt;F153,J97,D154)</f>
        <v>0</v>
      </c>
      <c r="F154" s="161">
        <f t="shared" si="15"/>
        <v>0</v>
      </c>
      <c r="G154" s="161">
        <f t="shared" si="16"/>
        <v>0</v>
      </c>
      <c r="H154" s="165">
        <f t="shared" si="17"/>
        <v>0</v>
      </c>
      <c r="I154" s="299">
        <f t="shared" si="18"/>
        <v>0</v>
      </c>
      <c r="J154" s="160">
        <f t="shared" si="20"/>
        <v>0</v>
      </c>
      <c r="K154" s="160"/>
      <c r="L154" s="316"/>
      <c r="M154" s="160">
        <f t="shared" si="21"/>
        <v>0</v>
      </c>
      <c r="N154" s="316"/>
      <c r="O154" s="160">
        <f t="shared" si="22"/>
        <v>0</v>
      </c>
      <c r="P154" s="160">
        <f t="shared" si="23"/>
        <v>0</v>
      </c>
      <c r="Q154" s="1"/>
      <c r="R154" s="1"/>
      <c r="S154" s="1"/>
      <c r="T154" s="1"/>
      <c r="U154" s="1"/>
    </row>
    <row r="155" spans="2:21" ht="13.5" thickBot="1">
      <c r="B155" t="str">
        <f t="shared" si="11"/>
        <v/>
      </c>
      <c r="C155" s="166">
        <f>IF(D94="","-",+C154+1)</f>
        <v>2070</v>
      </c>
      <c r="D155" s="156">
        <f>IF(F154+SUM(E$100:E154)=D$93,F154,D$93-SUM(E$100:E154))</f>
        <v>0</v>
      </c>
      <c r="E155" s="168">
        <f>IF(+J97&lt;F154,J97,D155)</f>
        <v>0</v>
      </c>
      <c r="F155" s="167">
        <f t="shared" si="15"/>
        <v>0</v>
      </c>
      <c r="G155" s="167">
        <f t="shared" si="16"/>
        <v>0</v>
      </c>
      <c r="H155" s="324">
        <f t="shared" si="17"/>
        <v>0</v>
      </c>
      <c r="I155" s="325">
        <f t="shared" si="18"/>
        <v>0</v>
      </c>
      <c r="J155" s="171">
        <f t="shared" si="20"/>
        <v>0</v>
      </c>
      <c r="K155" s="160"/>
      <c r="L155" s="317"/>
      <c r="M155" s="171">
        <f t="shared" si="21"/>
        <v>0</v>
      </c>
      <c r="N155" s="317"/>
      <c r="O155" s="171">
        <f t="shared" si="22"/>
        <v>0</v>
      </c>
      <c r="P155" s="171">
        <f t="shared" si="23"/>
        <v>0</v>
      </c>
      <c r="Q155" s="1"/>
      <c r="R155" s="1"/>
      <c r="S155" s="1"/>
      <c r="T155" s="1"/>
      <c r="U155" s="1"/>
    </row>
    <row r="156" spans="2:21">
      <c r="C156" s="156" t="s">
        <v>75</v>
      </c>
      <c r="D156" s="112"/>
      <c r="E156" s="112">
        <f>SUM(E100:E155)</f>
        <v>8535104.0000000019</v>
      </c>
      <c r="F156" s="112"/>
      <c r="G156" s="112"/>
      <c r="H156" s="112">
        <f>SUM(H100:H155)</f>
        <v>25294709.883858893</v>
      </c>
      <c r="I156" s="112">
        <f>SUM(I100:I155)</f>
        <v>25294709.883858893</v>
      </c>
      <c r="J156" s="112">
        <f>SUM(J100:J155)</f>
        <v>0</v>
      </c>
      <c r="K156" s="112"/>
      <c r="L156" s="112"/>
      <c r="M156" s="112"/>
      <c r="N156" s="112"/>
      <c r="O156" s="112"/>
      <c r="P156" s="1"/>
      <c r="Q156" s="1"/>
      <c r="R156" s="1"/>
      <c r="S156" s="1"/>
      <c r="T156" s="1"/>
      <c r="U156" s="1"/>
    </row>
    <row r="157" spans="2:21">
      <c r="C157" t="s">
        <v>90</v>
      </c>
      <c r="D157" s="2"/>
      <c r="E157" s="1"/>
      <c r="F157" s="1"/>
      <c r="G157" s="1"/>
      <c r="H157" s="1"/>
      <c r="I157" s="3"/>
      <c r="J157" s="3"/>
      <c r="K157" s="112"/>
      <c r="L157" s="3"/>
      <c r="M157" s="3"/>
      <c r="N157" s="3"/>
      <c r="O157" s="3"/>
      <c r="P157" s="1"/>
      <c r="Q157" s="1"/>
      <c r="R157" s="1"/>
      <c r="S157" s="1"/>
      <c r="T157" s="1"/>
      <c r="U157" s="1"/>
    </row>
    <row r="158" spans="2:21">
      <c r="C158" s="215"/>
      <c r="D158" s="2"/>
      <c r="E158" s="1"/>
      <c r="F158" s="1"/>
      <c r="G158" s="1"/>
      <c r="H158" s="1"/>
      <c r="I158" s="3"/>
      <c r="J158" s="3"/>
      <c r="K158" s="112"/>
      <c r="L158" s="3"/>
      <c r="M158" s="3"/>
      <c r="N158" s="3"/>
      <c r="O158" s="3"/>
      <c r="P158" s="1"/>
      <c r="Q158" s="1"/>
      <c r="R158" s="1"/>
      <c r="S158" s="1"/>
      <c r="T158" s="1"/>
      <c r="U158" s="1"/>
    </row>
    <row r="159" spans="2:21">
      <c r="C159" s="245" t="s">
        <v>130</v>
      </c>
      <c r="D159" s="2"/>
      <c r="E159" s="1"/>
      <c r="F159" s="1"/>
      <c r="G159" s="1"/>
      <c r="H159" s="1"/>
      <c r="I159" s="3"/>
      <c r="J159" s="3"/>
      <c r="K159" s="112"/>
      <c r="L159" s="3"/>
      <c r="M159" s="3"/>
      <c r="N159" s="3"/>
      <c r="O159" s="3"/>
      <c r="P159" s="1"/>
      <c r="Q159" s="1"/>
      <c r="R159" s="1"/>
      <c r="S159" s="1"/>
      <c r="T159" s="1"/>
      <c r="U159" s="1"/>
    </row>
    <row r="160" spans="2: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31" priority="1" stopIfTrue="1" operator="equal">
      <formula>$I$10</formula>
    </cfRule>
  </conditionalFormatting>
  <conditionalFormatting sqref="C100:C155">
    <cfRule type="cellIs" dxfId="30"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39997558519241921"/>
  </sheetPr>
  <dimension ref="A1:U163"/>
  <sheetViews>
    <sheetView view="pageBreakPreview" zoomScale="78" zoomScaleNormal="100" zoomScaleSheetLayoutView="78" workbookViewId="0">
      <selection activeCell="D22" sqref="D22:H22"/>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"&amp;RIGHT(MID(CELL("filename",$A$1),FIND("]",CELL("filename",$A$1))+1,256),2)&amp;" of "&amp;COUNT('OKT.001:OKT.xyz - blank'!$P$3)-1</f>
        <v>OKT Project 10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950080.0959319286</v>
      </c>
      <c r="P5" s="1"/>
      <c r="R5" s="1"/>
      <c r="S5" s="1"/>
      <c r="T5" s="1"/>
      <c r="U5" s="1"/>
    </row>
    <row r="6" spans="1:21" ht="15.75">
      <c r="C6" s="8"/>
      <c r="D6" s="2"/>
      <c r="E6" s="1"/>
      <c r="F6" s="1"/>
      <c r="G6" s="1"/>
      <c r="H6" s="119"/>
      <c r="I6" s="119"/>
      <c r="J6" s="120"/>
      <c r="K6" s="121" t="s">
        <v>243</v>
      </c>
      <c r="L6" s="122"/>
      <c r="M6" s="4"/>
      <c r="N6" s="123">
        <f>VLOOKUP(I10,C17:I73,6)</f>
        <v>950080.0959319286</v>
      </c>
      <c r="O6" s="1"/>
      <c r="P6" s="1"/>
      <c r="R6" s="1"/>
      <c r="S6" s="1"/>
      <c r="T6" s="1"/>
      <c r="U6" s="1"/>
    </row>
    <row r="7" spans="1:21" ht="13.5" thickBot="1">
      <c r="C7" s="124" t="s">
        <v>46</v>
      </c>
      <c r="D7" s="258" t="s">
        <v>229</v>
      </c>
      <c r="E7" s="1"/>
      <c r="F7" s="1"/>
      <c r="G7" s="1"/>
      <c r="H7" s="3"/>
      <c r="I7" s="3"/>
      <c r="J7" s="112"/>
      <c r="K7" s="125" t="s">
        <v>47</v>
      </c>
      <c r="L7" s="126"/>
      <c r="M7" s="126"/>
      <c r="N7" s="127">
        <f>+N6-N5</f>
        <v>0</v>
      </c>
      <c r="O7" s="1"/>
      <c r="P7" s="1"/>
      <c r="R7" s="1"/>
      <c r="S7" s="1"/>
      <c r="T7" s="1"/>
      <c r="U7" s="1"/>
    </row>
    <row r="8" spans="1:21" ht="13.5" thickBot="1">
      <c r="C8" s="128"/>
      <c r="D8" s="383" t="s">
        <v>230</v>
      </c>
      <c r="E8" s="129"/>
      <c r="F8" s="129"/>
      <c r="G8" s="129"/>
      <c r="H8" s="129"/>
      <c r="I8" s="129"/>
      <c r="J8" s="102"/>
      <c r="K8" s="129"/>
      <c r="L8" s="129"/>
      <c r="M8" s="129"/>
      <c r="N8" s="129"/>
      <c r="O8" s="102"/>
      <c r="P8" s="23"/>
      <c r="R8" s="1"/>
      <c r="S8" s="1"/>
      <c r="T8" s="1"/>
      <c r="U8" s="1"/>
    </row>
    <row r="9" spans="1:21" ht="13.5" thickBot="1">
      <c r="C9" s="130" t="s">
        <v>48</v>
      </c>
      <c r="D9" s="224" t="s">
        <v>218</v>
      </c>
      <c r="E9" s="131"/>
      <c r="F9" s="131"/>
      <c r="G9" s="131"/>
      <c r="H9" s="131"/>
      <c r="I9" s="132"/>
      <c r="J9" s="133"/>
      <c r="O9" s="134"/>
      <c r="P9" s="4"/>
      <c r="R9" s="1"/>
      <c r="S9" s="1"/>
      <c r="T9" s="1"/>
      <c r="U9" s="1"/>
    </row>
    <row r="10" spans="1:21">
      <c r="C10" s="135" t="s">
        <v>49</v>
      </c>
      <c r="D10" s="136">
        <v>7210309</v>
      </c>
      <c r="E10" s="63" t="s">
        <v>50</v>
      </c>
      <c r="F10" s="134"/>
      <c r="G10" s="137"/>
      <c r="H10" s="137"/>
      <c r="I10" s="138">
        <f>+OKT.WS.F.BPU.ATRR.Projected!R100</f>
        <v>2018</v>
      </c>
      <c r="J10" s="133"/>
      <c r="K10" s="112" t="s">
        <v>51</v>
      </c>
      <c r="O10" s="4"/>
      <c r="P10" s="4"/>
      <c r="R10" s="1"/>
      <c r="S10" s="1"/>
      <c r="T10" s="1"/>
      <c r="U10" s="1"/>
    </row>
    <row r="11" spans="1:21">
      <c r="C11" s="139" t="s">
        <v>52</v>
      </c>
      <c r="D11" s="140">
        <v>2013</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12</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176829.81385654397</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155">
        <f>IF(D11= "","-",D11)</f>
        <v>2013</v>
      </c>
      <c r="D17" s="373">
        <v>7200873.8200000003</v>
      </c>
      <c r="E17" s="374">
        <v>0</v>
      </c>
      <c r="F17" s="373">
        <v>7200873.8200000003</v>
      </c>
      <c r="G17" s="374">
        <v>66024.408436961749</v>
      </c>
      <c r="H17" s="376">
        <v>66024.408436961749</v>
      </c>
      <c r="I17" s="342">
        <v>0</v>
      </c>
      <c r="J17" s="158"/>
      <c r="K17" s="318">
        <f t="shared" ref="K17:K22" si="1">G17</f>
        <v>66024.408436961749</v>
      </c>
      <c r="L17" s="340">
        <f t="shared" ref="L17:L22" si="2">IF(K17&lt;&gt;0,+G17-K17,0)</f>
        <v>0</v>
      </c>
      <c r="M17" s="318">
        <f t="shared" ref="M17:M22" si="3">H17</f>
        <v>66024.408436961749</v>
      </c>
      <c r="N17" s="159">
        <f>IF(M17&lt;&gt;0,+H17-M17,0)</f>
        <v>0</v>
      </c>
      <c r="O17" s="160">
        <f>+N17-L17</f>
        <v>0</v>
      </c>
      <c r="P17" s="4"/>
      <c r="R17" s="1"/>
      <c r="S17" s="1"/>
      <c r="T17" s="1"/>
      <c r="U17" s="1"/>
    </row>
    <row r="18" spans="2:21">
      <c r="B18" t="str">
        <f t="shared" si="0"/>
        <v/>
      </c>
      <c r="C18" s="155">
        <f>IF(D11="","-",+C17+1)</f>
        <v>2014</v>
      </c>
      <c r="D18" s="377">
        <v>7200873.8200000003</v>
      </c>
      <c r="E18" s="375">
        <v>124569.42917795427</v>
      </c>
      <c r="F18" s="377">
        <v>7076304.3908220464</v>
      </c>
      <c r="G18" s="375">
        <v>903156.28905530274</v>
      </c>
      <c r="H18" s="376">
        <v>903156.28905530274</v>
      </c>
      <c r="I18" s="342">
        <v>0</v>
      </c>
      <c r="J18" s="158"/>
      <c r="K18" s="355">
        <f t="shared" si="1"/>
        <v>903156.28905530274</v>
      </c>
      <c r="L18" s="360">
        <f t="shared" si="2"/>
        <v>0</v>
      </c>
      <c r="M18" s="355">
        <f t="shared" si="3"/>
        <v>903156.28905530274</v>
      </c>
      <c r="N18" s="357">
        <f>IF(M18&lt;&gt;0,+H18-M18,0)</f>
        <v>0</v>
      </c>
      <c r="O18" s="360">
        <f>+N18-L18</f>
        <v>0</v>
      </c>
      <c r="P18" s="4"/>
      <c r="R18" s="1"/>
      <c r="S18" s="1"/>
      <c r="T18" s="1"/>
      <c r="U18" s="1"/>
    </row>
    <row r="19" spans="2:21">
      <c r="B19" t="str">
        <f t="shared" si="0"/>
        <v/>
      </c>
      <c r="C19" s="155">
        <f>IF(D11="","-",+C18+1)</f>
        <v>2015</v>
      </c>
      <c r="D19" s="394">
        <v>7076304.3908220464</v>
      </c>
      <c r="E19" s="393">
        <v>124569.42917795427</v>
      </c>
      <c r="F19" s="394">
        <v>6951734.9616440926</v>
      </c>
      <c r="G19" s="393">
        <v>841053.03893843992</v>
      </c>
      <c r="H19" s="398">
        <v>841053.03893843992</v>
      </c>
      <c r="I19" s="342">
        <v>0</v>
      </c>
      <c r="J19" s="158"/>
      <c r="K19" s="355">
        <f t="shared" si="1"/>
        <v>841053.03893843992</v>
      </c>
      <c r="L19" s="360">
        <f t="shared" si="2"/>
        <v>0</v>
      </c>
      <c r="M19" s="355">
        <f t="shared" si="3"/>
        <v>841053.03893843992</v>
      </c>
      <c r="N19" s="357">
        <f>IF(M19&lt;&gt;0,+H19-M19,0)</f>
        <v>0</v>
      </c>
      <c r="O19" s="360">
        <f>+N19-L19</f>
        <v>0</v>
      </c>
      <c r="P19" s="4"/>
      <c r="R19" s="1"/>
      <c r="S19" s="1"/>
      <c r="T19" s="1"/>
      <c r="U19" s="1"/>
    </row>
    <row r="20" spans="2:21">
      <c r="B20" t="str">
        <f t="shared" si="0"/>
        <v/>
      </c>
      <c r="C20" s="155">
        <f>IF(D11="","-",+C19+1)</f>
        <v>2016</v>
      </c>
      <c r="D20" s="394">
        <v>6951734.9616440926</v>
      </c>
      <c r="E20" s="393">
        <v>149630.22739831218</v>
      </c>
      <c r="F20" s="394">
        <v>6802104.7342457809</v>
      </c>
      <c r="G20" s="393">
        <v>883443.80340987013</v>
      </c>
      <c r="H20" s="398">
        <v>883443.80340987013</v>
      </c>
      <c r="I20" s="158">
        <f>H20-G20</f>
        <v>0</v>
      </c>
      <c r="J20" s="158"/>
      <c r="K20" s="355">
        <f t="shared" si="1"/>
        <v>883443.80340987013</v>
      </c>
      <c r="L20" s="360">
        <f t="shared" si="2"/>
        <v>0</v>
      </c>
      <c r="M20" s="355">
        <f t="shared" si="3"/>
        <v>883443.80340987013</v>
      </c>
      <c r="N20" s="160">
        <f t="shared" ref="N20:N73" si="4">IF(M20&lt;&gt;0,+H20-M20,0)</f>
        <v>0</v>
      </c>
      <c r="O20" s="160">
        <f t="shared" ref="O20:O73" si="5">+N20-L20</f>
        <v>0</v>
      </c>
      <c r="P20" s="4"/>
      <c r="R20" s="1"/>
      <c r="S20" s="1"/>
      <c r="T20" s="1"/>
      <c r="U20" s="1"/>
    </row>
    <row r="21" spans="2:21">
      <c r="B21" t="str">
        <f t="shared" si="0"/>
        <v>IU</v>
      </c>
      <c r="C21" s="155">
        <f>IF(D11="","-",+C20+1)</f>
        <v>2017</v>
      </c>
      <c r="D21" s="394">
        <v>6811539.9142457796</v>
      </c>
      <c r="E21" s="393">
        <v>141768.94979225809</v>
      </c>
      <c r="F21" s="394">
        <v>6669770.9644535212</v>
      </c>
      <c r="G21" s="393">
        <v>882836.42245279858</v>
      </c>
      <c r="H21" s="398">
        <v>882836.42245279858</v>
      </c>
      <c r="I21" s="158">
        <f t="shared" ref="I21:I73" si="6">H21-G21</f>
        <v>0</v>
      </c>
      <c r="J21" s="158"/>
      <c r="K21" s="355">
        <f t="shared" si="1"/>
        <v>882836.42245279858</v>
      </c>
      <c r="L21" s="360">
        <f t="shared" si="2"/>
        <v>0</v>
      </c>
      <c r="M21" s="355">
        <f t="shared" si="3"/>
        <v>882836.42245279858</v>
      </c>
      <c r="N21" s="160">
        <f>IF(M21&lt;&gt;0,+H21-M21,0)</f>
        <v>0</v>
      </c>
      <c r="O21" s="160">
        <f>+N21-L21</f>
        <v>0</v>
      </c>
      <c r="P21" s="4"/>
      <c r="R21" s="1"/>
      <c r="S21" s="1"/>
      <c r="T21" s="1"/>
      <c r="U21" s="1"/>
    </row>
    <row r="22" spans="2:21">
      <c r="B22" t="str">
        <f t="shared" si="0"/>
        <v/>
      </c>
      <c r="C22" s="155">
        <f>IF(D11="","-",+C21+1)</f>
        <v>2018</v>
      </c>
      <c r="D22" s="394">
        <v>6669770.9644535212</v>
      </c>
      <c r="E22" s="393">
        <v>176829.81385654397</v>
      </c>
      <c r="F22" s="394">
        <v>6492941.1505969772</v>
      </c>
      <c r="G22" s="393">
        <v>950080.0959319286</v>
      </c>
      <c r="H22" s="398">
        <v>950080.0959319286</v>
      </c>
      <c r="I22" s="158">
        <v>0</v>
      </c>
      <c r="J22" s="158"/>
      <c r="K22" s="355">
        <f t="shared" si="1"/>
        <v>950080.0959319286</v>
      </c>
      <c r="L22" s="360">
        <f t="shared" si="2"/>
        <v>0</v>
      </c>
      <c r="M22" s="355">
        <f t="shared" si="3"/>
        <v>950080.0959319286</v>
      </c>
      <c r="N22" s="160">
        <f>IF(M22&lt;&gt;0,+H22-M22,0)</f>
        <v>0</v>
      </c>
      <c r="O22" s="160">
        <f>+N22-L22</f>
        <v>0</v>
      </c>
      <c r="P22" s="4"/>
      <c r="R22" s="1"/>
      <c r="S22" s="1"/>
      <c r="T22" s="1"/>
      <c r="U22" s="1"/>
    </row>
    <row r="23" spans="2:21">
      <c r="B23" t="str">
        <f t="shared" si="0"/>
        <v/>
      </c>
      <c r="C23" s="155">
        <f>IF(D11="","-",+C22+1)</f>
        <v>2019</v>
      </c>
      <c r="D23" s="164">
        <f>IF(F22+SUM(E$17:E22)=D$10,F22,D$10-SUM(E$17:E22))</f>
        <v>6492941.1505969772</v>
      </c>
      <c r="E23" s="162">
        <f t="shared" ref="E23:E73" si="7">IF(+$I$14&lt;F22,$I$14,D23)</f>
        <v>176829.81385654397</v>
      </c>
      <c r="F23" s="161">
        <f t="shared" ref="F23:F73" si="8">+D23-E23</f>
        <v>6316111.3367404332</v>
      </c>
      <c r="G23" s="163">
        <f t="shared" ref="G23:G73" si="9">(D23+F23)/2*I$12+E23</f>
        <v>929304.1795024313</v>
      </c>
      <c r="H23" s="145">
        <f t="shared" ref="H23:H73" si="10">+(D23+F23)/2*I$13+E23</f>
        <v>929304.1795024313</v>
      </c>
      <c r="I23" s="158">
        <f t="shared" si="6"/>
        <v>0</v>
      </c>
      <c r="J23" s="158"/>
      <c r="K23" s="316"/>
      <c r="L23" s="160">
        <f t="shared" ref="L23:L73" si="11">IF(K23&lt;&gt;0,+G23-K23,0)</f>
        <v>0</v>
      </c>
      <c r="M23" s="316"/>
      <c r="N23" s="160">
        <f t="shared" si="4"/>
        <v>0</v>
      </c>
      <c r="O23" s="160">
        <f t="shared" si="5"/>
        <v>0</v>
      </c>
      <c r="P23" s="4"/>
      <c r="R23" s="1"/>
      <c r="S23" s="1"/>
      <c r="T23" s="1"/>
      <c r="U23" s="1"/>
    </row>
    <row r="24" spans="2:21">
      <c r="B24" t="str">
        <f t="shared" si="0"/>
        <v/>
      </c>
      <c r="C24" s="155">
        <f>IF(D11="","-",+C23+1)</f>
        <v>2020</v>
      </c>
      <c r="D24" s="164">
        <f>IF(F23+SUM(E$17:E23)=D$10,F23,D$10-SUM(E$17:E23))</f>
        <v>6316111.3367404332</v>
      </c>
      <c r="E24" s="162">
        <f t="shared" si="7"/>
        <v>176829.81385654397</v>
      </c>
      <c r="F24" s="161">
        <f t="shared" si="8"/>
        <v>6139281.5228838893</v>
      </c>
      <c r="G24" s="163">
        <f t="shared" si="9"/>
        <v>908528.263072934</v>
      </c>
      <c r="H24" s="145">
        <f t="shared" si="10"/>
        <v>908528.263072934</v>
      </c>
      <c r="I24" s="158">
        <f t="shared" si="6"/>
        <v>0</v>
      </c>
      <c r="J24" s="158"/>
      <c r="K24" s="316"/>
      <c r="L24" s="160">
        <f t="shared" si="11"/>
        <v>0</v>
      </c>
      <c r="M24" s="316"/>
      <c r="N24" s="160">
        <f t="shared" si="4"/>
        <v>0</v>
      </c>
      <c r="O24" s="160">
        <f t="shared" si="5"/>
        <v>0</v>
      </c>
      <c r="P24" s="4"/>
      <c r="R24" s="1"/>
      <c r="S24" s="1"/>
      <c r="T24" s="1"/>
      <c r="U24" s="1"/>
    </row>
    <row r="25" spans="2:21">
      <c r="B25" t="str">
        <f t="shared" si="0"/>
        <v/>
      </c>
      <c r="C25" s="155">
        <f>IF(D11="","-",+C24+1)</f>
        <v>2021</v>
      </c>
      <c r="D25" s="164">
        <f>IF(F24+SUM(E$17:E24)=D$10,F24,D$10-SUM(E$17:E24))</f>
        <v>6139281.5228838893</v>
      </c>
      <c r="E25" s="162">
        <f t="shared" si="7"/>
        <v>176829.81385654397</v>
      </c>
      <c r="F25" s="161">
        <f t="shared" si="8"/>
        <v>5962451.7090273453</v>
      </c>
      <c r="G25" s="163">
        <f t="shared" si="9"/>
        <v>887752.3466434367</v>
      </c>
      <c r="H25" s="145">
        <f t="shared" si="10"/>
        <v>887752.3466434367</v>
      </c>
      <c r="I25" s="158">
        <f t="shared" si="6"/>
        <v>0</v>
      </c>
      <c r="J25" s="158"/>
      <c r="K25" s="316"/>
      <c r="L25" s="160">
        <f t="shared" si="11"/>
        <v>0</v>
      </c>
      <c r="M25" s="316"/>
      <c r="N25" s="160">
        <f t="shared" si="4"/>
        <v>0</v>
      </c>
      <c r="O25" s="160">
        <f t="shared" si="5"/>
        <v>0</v>
      </c>
      <c r="P25" s="4"/>
      <c r="R25" s="1"/>
      <c r="S25" s="1"/>
      <c r="T25" s="1"/>
      <c r="U25" s="1"/>
    </row>
    <row r="26" spans="2:21">
      <c r="B26" t="str">
        <f t="shared" si="0"/>
        <v/>
      </c>
      <c r="C26" s="155">
        <f>IF(D11="","-",+C25+1)</f>
        <v>2022</v>
      </c>
      <c r="D26" s="164">
        <f>IF(F25+SUM(E$17:E25)=D$10,F25,D$10-SUM(E$17:E25))</f>
        <v>5962451.7090273453</v>
      </c>
      <c r="E26" s="162">
        <f t="shared" si="7"/>
        <v>176829.81385654397</v>
      </c>
      <c r="F26" s="161">
        <f t="shared" si="8"/>
        <v>5785621.8951708013</v>
      </c>
      <c r="G26" s="163">
        <f t="shared" si="9"/>
        <v>866976.4302139394</v>
      </c>
      <c r="H26" s="145">
        <f t="shared" si="10"/>
        <v>866976.4302139394</v>
      </c>
      <c r="I26" s="158">
        <f t="shared" si="6"/>
        <v>0</v>
      </c>
      <c r="J26" s="158"/>
      <c r="K26" s="316"/>
      <c r="L26" s="160">
        <f t="shared" si="11"/>
        <v>0</v>
      </c>
      <c r="M26" s="316"/>
      <c r="N26" s="160">
        <f t="shared" si="4"/>
        <v>0</v>
      </c>
      <c r="O26" s="160">
        <f t="shared" si="5"/>
        <v>0</v>
      </c>
      <c r="P26" s="4"/>
      <c r="R26" s="1"/>
      <c r="S26" s="1"/>
      <c r="T26" s="1"/>
      <c r="U26" s="1"/>
    </row>
    <row r="27" spans="2:21">
      <c r="B27" t="str">
        <f t="shared" si="0"/>
        <v/>
      </c>
      <c r="C27" s="155">
        <f>IF(D11="","-",+C26+1)</f>
        <v>2023</v>
      </c>
      <c r="D27" s="164">
        <f>IF(F26+SUM(E$17:E26)=D$10,F26,D$10-SUM(E$17:E26))</f>
        <v>5785621.8951708013</v>
      </c>
      <c r="E27" s="162">
        <f t="shared" si="7"/>
        <v>176829.81385654397</v>
      </c>
      <c r="F27" s="161">
        <f t="shared" si="8"/>
        <v>5608792.0813142573</v>
      </c>
      <c r="G27" s="163">
        <f t="shared" si="9"/>
        <v>846200.5137844421</v>
      </c>
      <c r="H27" s="145">
        <f t="shared" si="10"/>
        <v>846200.5137844421</v>
      </c>
      <c r="I27" s="158">
        <f t="shared" si="6"/>
        <v>0</v>
      </c>
      <c r="J27" s="158"/>
      <c r="K27" s="316"/>
      <c r="L27" s="160">
        <f t="shared" si="11"/>
        <v>0</v>
      </c>
      <c r="M27" s="316"/>
      <c r="N27" s="160">
        <f t="shared" si="4"/>
        <v>0</v>
      </c>
      <c r="O27" s="160">
        <f t="shared" si="5"/>
        <v>0</v>
      </c>
      <c r="P27" s="4"/>
      <c r="R27" s="1"/>
      <c r="S27" s="1"/>
      <c r="T27" s="1"/>
      <c r="U27" s="1"/>
    </row>
    <row r="28" spans="2:21">
      <c r="B28" t="str">
        <f t="shared" si="0"/>
        <v/>
      </c>
      <c r="C28" s="155">
        <f>IF(D11="","-",+C27+1)</f>
        <v>2024</v>
      </c>
      <c r="D28" s="164">
        <f>IF(F27+SUM(E$17:E27)=D$10,F27,D$10-SUM(E$17:E27))</f>
        <v>5608792.0813142573</v>
      </c>
      <c r="E28" s="162">
        <f t="shared" si="7"/>
        <v>176829.81385654397</v>
      </c>
      <c r="F28" s="161">
        <f t="shared" si="8"/>
        <v>5431962.2674577134</v>
      </c>
      <c r="G28" s="163">
        <f t="shared" si="9"/>
        <v>825424.5973549448</v>
      </c>
      <c r="H28" s="145">
        <f t="shared" si="10"/>
        <v>825424.5973549448</v>
      </c>
      <c r="I28" s="158">
        <f t="shared" si="6"/>
        <v>0</v>
      </c>
      <c r="J28" s="158"/>
      <c r="K28" s="316"/>
      <c r="L28" s="160">
        <f t="shared" si="11"/>
        <v>0</v>
      </c>
      <c r="M28" s="316"/>
      <c r="N28" s="160">
        <f t="shared" si="4"/>
        <v>0</v>
      </c>
      <c r="O28" s="160">
        <f t="shared" si="5"/>
        <v>0</v>
      </c>
      <c r="P28" s="4"/>
      <c r="R28" s="1"/>
      <c r="S28" s="1"/>
      <c r="T28" s="1"/>
      <c r="U28" s="1"/>
    </row>
    <row r="29" spans="2:21">
      <c r="B29" t="str">
        <f t="shared" si="0"/>
        <v/>
      </c>
      <c r="C29" s="155">
        <f>IF(D11="","-",+C28+1)</f>
        <v>2025</v>
      </c>
      <c r="D29" s="164">
        <f>IF(F28+SUM(E$17:E28)=D$10,F28,D$10-SUM(E$17:E28))</f>
        <v>5431962.2674577134</v>
      </c>
      <c r="E29" s="162">
        <f t="shared" si="7"/>
        <v>176829.81385654397</v>
      </c>
      <c r="F29" s="161">
        <f t="shared" si="8"/>
        <v>5255132.4536011694</v>
      </c>
      <c r="G29" s="163">
        <f t="shared" si="9"/>
        <v>804648.68092544749</v>
      </c>
      <c r="H29" s="145">
        <f t="shared" si="10"/>
        <v>804648.68092544749</v>
      </c>
      <c r="I29" s="158">
        <f t="shared" si="6"/>
        <v>0</v>
      </c>
      <c r="J29" s="158"/>
      <c r="K29" s="316"/>
      <c r="L29" s="160">
        <f t="shared" si="11"/>
        <v>0</v>
      </c>
      <c r="M29" s="316"/>
      <c r="N29" s="160">
        <f t="shared" si="4"/>
        <v>0</v>
      </c>
      <c r="O29" s="160">
        <f t="shared" si="5"/>
        <v>0</v>
      </c>
      <c r="P29" s="4"/>
      <c r="R29" s="1"/>
      <c r="S29" s="1"/>
      <c r="T29" s="1"/>
      <c r="U29" s="1"/>
    </row>
    <row r="30" spans="2:21">
      <c r="B30" t="str">
        <f t="shared" si="0"/>
        <v/>
      </c>
      <c r="C30" s="155">
        <f>IF(D11="","-",+C29+1)</f>
        <v>2026</v>
      </c>
      <c r="D30" s="164">
        <f>IF(F29+SUM(E$17:E29)=D$10,F29,D$10-SUM(E$17:E29))</f>
        <v>5255132.4536011694</v>
      </c>
      <c r="E30" s="162">
        <f t="shared" si="7"/>
        <v>176829.81385654397</v>
      </c>
      <c r="F30" s="161">
        <f t="shared" si="8"/>
        <v>5078302.6397446254</v>
      </c>
      <c r="G30" s="163">
        <f t="shared" si="9"/>
        <v>783872.76449595019</v>
      </c>
      <c r="H30" s="145">
        <f t="shared" si="10"/>
        <v>783872.76449595019</v>
      </c>
      <c r="I30" s="158">
        <f t="shared" si="6"/>
        <v>0</v>
      </c>
      <c r="J30" s="158"/>
      <c r="K30" s="316"/>
      <c r="L30" s="160">
        <f t="shared" si="11"/>
        <v>0</v>
      </c>
      <c r="M30" s="316"/>
      <c r="N30" s="160">
        <f t="shared" si="4"/>
        <v>0</v>
      </c>
      <c r="O30" s="160">
        <f t="shared" si="5"/>
        <v>0</v>
      </c>
      <c r="P30" s="4"/>
      <c r="R30" s="1"/>
      <c r="S30" s="1"/>
      <c r="T30" s="1"/>
      <c r="U30" s="1"/>
    </row>
    <row r="31" spans="2:21">
      <c r="B31" t="str">
        <f t="shared" si="0"/>
        <v/>
      </c>
      <c r="C31" s="155">
        <f>IF(D11="","-",+C30+1)</f>
        <v>2027</v>
      </c>
      <c r="D31" s="164">
        <f>IF(F30+SUM(E$17:E30)=D$10,F30,D$10-SUM(E$17:E30))</f>
        <v>5078302.6397446254</v>
      </c>
      <c r="E31" s="162">
        <f t="shared" si="7"/>
        <v>176829.81385654397</v>
      </c>
      <c r="F31" s="161">
        <f t="shared" si="8"/>
        <v>4901472.8258880815</v>
      </c>
      <c r="G31" s="163">
        <f t="shared" si="9"/>
        <v>763096.84806645289</v>
      </c>
      <c r="H31" s="145">
        <f t="shared" si="10"/>
        <v>763096.84806645289</v>
      </c>
      <c r="I31" s="158">
        <f t="shared" si="6"/>
        <v>0</v>
      </c>
      <c r="J31" s="158"/>
      <c r="K31" s="316"/>
      <c r="L31" s="160">
        <f t="shared" si="11"/>
        <v>0</v>
      </c>
      <c r="M31" s="316"/>
      <c r="N31" s="160">
        <f t="shared" si="4"/>
        <v>0</v>
      </c>
      <c r="O31" s="160">
        <f t="shared" si="5"/>
        <v>0</v>
      </c>
      <c r="P31" s="4"/>
      <c r="Q31" s="7"/>
      <c r="R31" s="4"/>
      <c r="S31" s="4"/>
      <c r="T31" s="4"/>
      <c r="U31" s="1"/>
    </row>
    <row r="32" spans="2:21">
      <c r="B32" t="str">
        <f t="shared" si="0"/>
        <v/>
      </c>
      <c r="C32" s="155">
        <f>IF(D12="","-",+C31+1)</f>
        <v>2028</v>
      </c>
      <c r="D32" s="164">
        <f>IF(F31+SUM(E$17:E31)=D$10,F31,D$10-SUM(E$17:E31))</f>
        <v>4901472.8258880815</v>
      </c>
      <c r="E32" s="162">
        <f>IF(+$I$14&lt;F31,$I$14,D32)</f>
        <v>176829.81385654397</v>
      </c>
      <c r="F32" s="161">
        <f>+D32-E32</f>
        <v>4724643.0120315375</v>
      </c>
      <c r="G32" s="163">
        <f t="shared" si="9"/>
        <v>742320.93163695559</v>
      </c>
      <c r="H32" s="145">
        <f t="shared" si="10"/>
        <v>742320.93163695559</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2029</v>
      </c>
      <c r="D33" s="164">
        <f>IF(F32+SUM(E$17:E32)=D$10,F32,D$10-SUM(E$17:E32))</f>
        <v>4724643.0120315375</v>
      </c>
      <c r="E33" s="162">
        <f>IF(+$I$14&lt;F32,$I$14,D33)</f>
        <v>176829.81385654397</v>
      </c>
      <c r="F33" s="161">
        <f>+D33-E33</f>
        <v>4547813.1981749935</v>
      </c>
      <c r="G33" s="163">
        <f t="shared" si="9"/>
        <v>721545.01520745829</v>
      </c>
      <c r="H33" s="145">
        <f t="shared" si="10"/>
        <v>721545.01520745829</v>
      </c>
      <c r="I33" s="158">
        <f>H33-G33</f>
        <v>0</v>
      </c>
      <c r="J33" s="158"/>
      <c r="K33" s="316"/>
      <c r="L33" s="160">
        <f>IF(K33&lt;&gt;0,+G33-K33,0)</f>
        <v>0</v>
      </c>
      <c r="M33" s="316"/>
      <c r="N33" s="160">
        <f>IF(M33&lt;&gt;0,+H33-M33,0)</f>
        <v>0</v>
      </c>
      <c r="O33" s="160">
        <f>+N33-L33</f>
        <v>0</v>
      </c>
      <c r="P33" s="4"/>
      <c r="R33" s="1"/>
      <c r="S33" s="1"/>
      <c r="T33" s="1"/>
      <c r="U33" s="1"/>
    </row>
    <row r="34" spans="2:21">
      <c r="B34" t="str">
        <f t="shared" si="0"/>
        <v/>
      </c>
      <c r="C34" s="155">
        <f>IF(D14="","-",+C33+1)</f>
        <v>2030</v>
      </c>
      <c r="D34" s="431">
        <f>IF(F33+SUM(E$17:E33)=D$10,F33,D$10-SUM(E$17:E33))</f>
        <v>4547813.1981749935</v>
      </c>
      <c r="E34" s="424">
        <f t="shared" si="7"/>
        <v>176829.81385654397</v>
      </c>
      <c r="F34" s="423">
        <f t="shared" si="8"/>
        <v>4370983.3843184495</v>
      </c>
      <c r="G34" s="163">
        <f t="shared" si="9"/>
        <v>700769.09877796099</v>
      </c>
      <c r="H34" s="145">
        <f t="shared" si="10"/>
        <v>700769.09877796099</v>
      </c>
      <c r="I34" s="427">
        <f t="shared" si="6"/>
        <v>0</v>
      </c>
      <c r="J34" s="427"/>
      <c r="K34" s="428"/>
      <c r="L34" s="429">
        <f t="shared" si="11"/>
        <v>0</v>
      </c>
      <c r="M34" s="428"/>
      <c r="N34" s="429">
        <f t="shared" si="4"/>
        <v>0</v>
      </c>
      <c r="O34" s="429">
        <f t="shared" si="5"/>
        <v>0</v>
      </c>
      <c r="P34" s="430"/>
      <c r="Q34" s="290"/>
      <c r="R34" s="430"/>
      <c r="S34" s="430"/>
      <c r="T34" s="430"/>
      <c r="U34" s="1"/>
    </row>
    <row r="35" spans="2:21">
      <c r="B35" t="str">
        <f t="shared" si="0"/>
        <v/>
      </c>
      <c r="C35" s="155">
        <f>IF(D11="","-",+C34+1)</f>
        <v>2031</v>
      </c>
      <c r="D35" s="164">
        <f>IF(F34+SUM(E$17:E34)=D$10,F34,D$10-SUM(E$17:E34))</f>
        <v>4370983.3843184495</v>
      </c>
      <c r="E35" s="162">
        <f t="shared" si="7"/>
        <v>176829.81385654397</v>
      </c>
      <c r="F35" s="161">
        <f t="shared" si="8"/>
        <v>4194153.5704619056</v>
      </c>
      <c r="G35" s="163">
        <f t="shared" si="9"/>
        <v>679993.18234846368</v>
      </c>
      <c r="H35" s="145">
        <f t="shared" si="10"/>
        <v>679993.18234846368</v>
      </c>
      <c r="I35" s="158">
        <f t="shared" si="6"/>
        <v>0</v>
      </c>
      <c r="J35" s="158"/>
      <c r="K35" s="316"/>
      <c r="L35" s="160">
        <f t="shared" si="11"/>
        <v>0</v>
      </c>
      <c r="M35" s="316"/>
      <c r="N35" s="160">
        <f t="shared" si="4"/>
        <v>0</v>
      </c>
      <c r="O35" s="160">
        <f t="shared" si="5"/>
        <v>0</v>
      </c>
      <c r="P35" s="4"/>
      <c r="R35" s="1"/>
      <c r="S35" s="1"/>
      <c r="T35" s="1"/>
      <c r="U35" s="1"/>
    </row>
    <row r="36" spans="2:21">
      <c r="B36" t="str">
        <f t="shared" si="0"/>
        <v/>
      </c>
      <c r="C36" s="155">
        <f>IF(D11="","-",+C35+1)</f>
        <v>2032</v>
      </c>
      <c r="D36" s="164">
        <f>IF(F35+SUM(E$17:E35)=D$10,F35,D$10-SUM(E$17:E35))</f>
        <v>4194153.5704619056</v>
      </c>
      <c r="E36" s="162">
        <f t="shared" si="7"/>
        <v>176829.81385654397</v>
      </c>
      <c r="F36" s="161">
        <f t="shared" si="8"/>
        <v>4017323.7566053616</v>
      </c>
      <c r="G36" s="163">
        <f t="shared" si="9"/>
        <v>659217.26591896638</v>
      </c>
      <c r="H36" s="145">
        <f t="shared" si="10"/>
        <v>659217.26591896638</v>
      </c>
      <c r="I36" s="158">
        <f t="shared" si="6"/>
        <v>0</v>
      </c>
      <c r="J36" s="158"/>
      <c r="K36" s="316"/>
      <c r="L36" s="160">
        <f t="shared" si="11"/>
        <v>0</v>
      </c>
      <c r="M36" s="316"/>
      <c r="N36" s="160">
        <f t="shared" si="4"/>
        <v>0</v>
      </c>
      <c r="O36" s="160">
        <f t="shared" si="5"/>
        <v>0</v>
      </c>
      <c r="P36" s="4"/>
      <c r="R36" s="1"/>
      <c r="S36" s="1"/>
      <c r="T36" s="1"/>
      <c r="U36" s="1"/>
    </row>
    <row r="37" spans="2:21">
      <c r="B37" t="str">
        <f t="shared" si="0"/>
        <v/>
      </c>
      <c r="C37" s="155">
        <f>IF(D11="","-",+C36+1)</f>
        <v>2033</v>
      </c>
      <c r="D37" s="164">
        <f>IF(F36+SUM(E$17:E36)=D$10,F36,D$10-SUM(E$17:E36))</f>
        <v>4017323.7566053616</v>
      </c>
      <c r="E37" s="162">
        <f t="shared" si="7"/>
        <v>176829.81385654397</v>
      </c>
      <c r="F37" s="161">
        <f t="shared" si="8"/>
        <v>3840493.9427488176</v>
      </c>
      <c r="G37" s="163">
        <f t="shared" si="9"/>
        <v>638441.34948946908</v>
      </c>
      <c r="H37" s="145">
        <f t="shared" si="10"/>
        <v>638441.34948946908</v>
      </c>
      <c r="I37" s="158">
        <f t="shared" si="6"/>
        <v>0</v>
      </c>
      <c r="J37" s="158"/>
      <c r="K37" s="316"/>
      <c r="L37" s="160">
        <f t="shared" si="11"/>
        <v>0</v>
      </c>
      <c r="M37" s="316"/>
      <c r="N37" s="160">
        <f t="shared" si="4"/>
        <v>0</v>
      </c>
      <c r="O37" s="160">
        <f t="shared" si="5"/>
        <v>0</v>
      </c>
      <c r="P37" s="4"/>
      <c r="R37" s="1"/>
      <c r="S37" s="1"/>
      <c r="T37" s="1"/>
      <c r="U37" s="1"/>
    </row>
    <row r="38" spans="2:21">
      <c r="B38" t="str">
        <f t="shared" si="0"/>
        <v/>
      </c>
      <c r="C38" s="155">
        <f>IF(D11="","-",+C37+1)</f>
        <v>2034</v>
      </c>
      <c r="D38" s="164">
        <f>IF(F37+SUM(E$17:E37)=D$10,F37,D$10-SUM(E$17:E37))</f>
        <v>3840493.9427488176</v>
      </c>
      <c r="E38" s="162">
        <f t="shared" si="7"/>
        <v>176829.81385654397</v>
      </c>
      <c r="F38" s="161">
        <f t="shared" si="8"/>
        <v>3663664.1288922736</v>
      </c>
      <c r="G38" s="163">
        <f t="shared" si="9"/>
        <v>617665.43305997178</v>
      </c>
      <c r="H38" s="145">
        <f t="shared" si="10"/>
        <v>617665.43305997178</v>
      </c>
      <c r="I38" s="158">
        <f t="shared" si="6"/>
        <v>0</v>
      </c>
      <c r="J38" s="158"/>
      <c r="K38" s="316"/>
      <c r="L38" s="160">
        <f t="shared" si="11"/>
        <v>0</v>
      </c>
      <c r="M38" s="316"/>
      <c r="N38" s="160">
        <f t="shared" si="4"/>
        <v>0</v>
      </c>
      <c r="O38" s="160">
        <f t="shared" si="5"/>
        <v>0</v>
      </c>
      <c r="P38" s="4"/>
      <c r="R38" s="1"/>
      <c r="S38" s="1"/>
      <c r="T38" s="1"/>
      <c r="U38" s="1"/>
    </row>
    <row r="39" spans="2:21">
      <c r="B39" t="str">
        <f t="shared" si="0"/>
        <v/>
      </c>
      <c r="C39" s="155">
        <f>IF(D11="","-",+C38+1)</f>
        <v>2035</v>
      </c>
      <c r="D39" s="164">
        <f>IF(F38+SUM(E$17:E38)=D$10,F38,D$10-SUM(E$17:E38))</f>
        <v>3663664.1288922736</v>
      </c>
      <c r="E39" s="162">
        <f t="shared" si="7"/>
        <v>176829.81385654397</v>
      </c>
      <c r="F39" s="161">
        <f t="shared" si="8"/>
        <v>3486834.3150357297</v>
      </c>
      <c r="G39" s="163">
        <f t="shared" si="9"/>
        <v>596889.51663047448</v>
      </c>
      <c r="H39" s="145">
        <f t="shared" si="10"/>
        <v>596889.51663047448</v>
      </c>
      <c r="I39" s="158">
        <f t="shared" si="6"/>
        <v>0</v>
      </c>
      <c r="J39" s="158"/>
      <c r="K39" s="316"/>
      <c r="L39" s="160">
        <f t="shared" si="11"/>
        <v>0</v>
      </c>
      <c r="M39" s="316"/>
      <c r="N39" s="160">
        <f t="shared" si="4"/>
        <v>0</v>
      </c>
      <c r="O39" s="160">
        <f t="shared" si="5"/>
        <v>0</v>
      </c>
      <c r="P39" s="4"/>
      <c r="R39" s="1"/>
      <c r="S39" s="1"/>
      <c r="T39" s="1"/>
      <c r="U39" s="1"/>
    </row>
    <row r="40" spans="2:21">
      <c r="B40" t="str">
        <f t="shared" si="0"/>
        <v/>
      </c>
      <c r="C40" s="155">
        <f>IF(D11="","-",+C39+1)</f>
        <v>2036</v>
      </c>
      <c r="D40" s="164">
        <f>IF(F39+SUM(E$17:E39)=D$10,F39,D$10-SUM(E$17:E39))</f>
        <v>3486834.3150357297</v>
      </c>
      <c r="E40" s="162">
        <f t="shared" si="7"/>
        <v>176829.81385654397</v>
      </c>
      <c r="F40" s="161">
        <f t="shared" si="8"/>
        <v>3310004.5011791857</v>
      </c>
      <c r="G40" s="163">
        <f t="shared" si="9"/>
        <v>576113.60020097718</v>
      </c>
      <c r="H40" s="145">
        <f t="shared" si="10"/>
        <v>576113.60020097718</v>
      </c>
      <c r="I40" s="158">
        <f t="shared" si="6"/>
        <v>0</v>
      </c>
      <c r="J40" s="158"/>
      <c r="K40" s="316"/>
      <c r="L40" s="160">
        <f t="shared" si="11"/>
        <v>0</v>
      </c>
      <c r="M40" s="316"/>
      <c r="N40" s="160">
        <f t="shared" si="4"/>
        <v>0</v>
      </c>
      <c r="O40" s="160">
        <f t="shared" si="5"/>
        <v>0</v>
      </c>
      <c r="P40" s="4"/>
      <c r="R40" s="1"/>
      <c r="S40" s="1"/>
      <c r="T40" s="1"/>
      <c r="U40" s="1"/>
    </row>
    <row r="41" spans="2:21">
      <c r="B41" t="str">
        <f t="shared" si="0"/>
        <v/>
      </c>
      <c r="C41" s="155">
        <f>IF(D12="","-",+C40+1)</f>
        <v>2037</v>
      </c>
      <c r="D41" s="164">
        <f>IF(F40+SUM(E$17:E40)=D$10,F40,D$10-SUM(E$17:E40))</f>
        <v>3310004.5011791857</v>
      </c>
      <c r="E41" s="162">
        <f t="shared" si="7"/>
        <v>176829.81385654397</v>
      </c>
      <c r="F41" s="161">
        <f t="shared" si="8"/>
        <v>3133174.6873226417</v>
      </c>
      <c r="G41" s="163">
        <f t="shared" si="9"/>
        <v>555337.68377147987</v>
      </c>
      <c r="H41" s="145">
        <f t="shared" si="10"/>
        <v>555337.68377147987</v>
      </c>
      <c r="I41" s="158">
        <f t="shared" si="6"/>
        <v>0</v>
      </c>
      <c r="J41" s="158"/>
      <c r="K41" s="316"/>
      <c r="L41" s="160">
        <f t="shared" si="11"/>
        <v>0</v>
      </c>
      <c r="M41" s="316"/>
      <c r="N41" s="160">
        <f t="shared" si="4"/>
        <v>0</v>
      </c>
      <c r="O41" s="160">
        <f t="shared" si="5"/>
        <v>0</v>
      </c>
      <c r="P41" s="4"/>
      <c r="R41" s="1"/>
      <c r="S41" s="1"/>
      <c r="T41" s="1"/>
      <c r="U41" s="1"/>
    </row>
    <row r="42" spans="2:21">
      <c r="B42" t="str">
        <f t="shared" si="0"/>
        <v/>
      </c>
      <c r="C42" s="155">
        <f>IF(D13="","-",+C41+1)</f>
        <v>2038</v>
      </c>
      <c r="D42" s="164">
        <f>IF(F41+SUM(E$17:E41)=D$10,F41,D$10-SUM(E$17:E41))</f>
        <v>3133174.6873226417</v>
      </c>
      <c r="E42" s="162">
        <f t="shared" si="7"/>
        <v>176829.81385654397</v>
      </c>
      <c r="F42" s="161">
        <f t="shared" si="8"/>
        <v>2956344.8734660977</v>
      </c>
      <c r="G42" s="163">
        <f t="shared" si="9"/>
        <v>534561.76734198257</v>
      </c>
      <c r="H42" s="145">
        <f t="shared" si="10"/>
        <v>534561.76734198257</v>
      </c>
      <c r="I42" s="158">
        <f t="shared" si="6"/>
        <v>0</v>
      </c>
      <c r="J42" s="158"/>
      <c r="K42" s="316"/>
      <c r="L42" s="160">
        <f t="shared" si="11"/>
        <v>0</v>
      </c>
      <c r="M42" s="316"/>
      <c r="N42" s="160">
        <f t="shared" si="4"/>
        <v>0</v>
      </c>
      <c r="O42" s="160">
        <f t="shared" si="5"/>
        <v>0</v>
      </c>
      <c r="P42" s="4"/>
      <c r="R42" s="1"/>
      <c r="S42" s="1"/>
      <c r="T42" s="1"/>
      <c r="U42" s="1"/>
    </row>
    <row r="43" spans="2:21">
      <c r="B43" t="str">
        <f t="shared" si="0"/>
        <v/>
      </c>
      <c r="C43" s="155">
        <f>IF(D11="","-",+C42+1)</f>
        <v>2039</v>
      </c>
      <c r="D43" s="164">
        <f>IF(F42+SUM(E$17:E42)=D$10,F42,D$10-SUM(E$17:E42))</f>
        <v>2956344.8734660977</v>
      </c>
      <c r="E43" s="162">
        <f t="shared" si="7"/>
        <v>176829.81385654397</v>
      </c>
      <c r="F43" s="161">
        <f t="shared" si="8"/>
        <v>2779515.0596095538</v>
      </c>
      <c r="G43" s="163">
        <f t="shared" si="9"/>
        <v>513785.85091248533</v>
      </c>
      <c r="H43" s="145">
        <f t="shared" si="10"/>
        <v>513785.85091248533</v>
      </c>
      <c r="I43" s="158">
        <f t="shared" si="6"/>
        <v>0</v>
      </c>
      <c r="J43" s="158"/>
      <c r="K43" s="316"/>
      <c r="L43" s="160">
        <f t="shared" si="11"/>
        <v>0</v>
      </c>
      <c r="M43" s="316"/>
      <c r="N43" s="160">
        <f t="shared" si="4"/>
        <v>0</v>
      </c>
      <c r="O43" s="160">
        <f t="shared" si="5"/>
        <v>0</v>
      </c>
      <c r="P43" s="4"/>
      <c r="R43" s="1"/>
      <c r="S43" s="1"/>
      <c r="T43" s="1"/>
      <c r="U43" s="1"/>
    </row>
    <row r="44" spans="2:21">
      <c r="B44" t="str">
        <f t="shared" si="0"/>
        <v/>
      </c>
      <c r="C44" s="155">
        <f>IF(D11="","-",+C43+1)</f>
        <v>2040</v>
      </c>
      <c r="D44" s="164">
        <f>IF(F43+SUM(E$17:E43)=D$10,F43,D$10-SUM(E$17:E43))</f>
        <v>2779515.0596095538</v>
      </c>
      <c r="E44" s="162">
        <f t="shared" si="7"/>
        <v>176829.81385654397</v>
      </c>
      <c r="F44" s="161">
        <f t="shared" si="8"/>
        <v>2602685.2457530098</v>
      </c>
      <c r="G44" s="163">
        <f t="shared" si="9"/>
        <v>493009.93448298803</v>
      </c>
      <c r="H44" s="145">
        <f t="shared" si="10"/>
        <v>493009.93448298803</v>
      </c>
      <c r="I44" s="158">
        <f t="shared" si="6"/>
        <v>0</v>
      </c>
      <c r="J44" s="158"/>
      <c r="K44" s="316"/>
      <c r="L44" s="160">
        <f t="shared" si="11"/>
        <v>0</v>
      </c>
      <c r="M44" s="316"/>
      <c r="N44" s="160">
        <f t="shared" si="4"/>
        <v>0</v>
      </c>
      <c r="O44" s="160">
        <f t="shared" si="5"/>
        <v>0</v>
      </c>
      <c r="P44" s="4"/>
      <c r="R44" s="1"/>
      <c r="S44" s="1"/>
      <c r="T44" s="1"/>
      <c r="U44" s="1"/>
    </row>
    <row r="45" spans="2:21">
      <c r="B45" t="str">
        <f t="shared" si="0"/>
        <v/>
      </c>
      <c r="C45" s="155">
        <f>IF(D11="","-",+C44+1)</f>
        <v>2041</v>
      </c>
      <c r="D45" s="164">
        <f>IF(F44+SUM(E$17:E44)=D$10,F44,D$10-SUM(E$17:E44))</f>
        <v>2602685.2457530098</v>
      </c>
      <c r="E45" s="162">
        <f t="shared" si="7"/>
        <v>176829.81385654397</v>
      </c>
      <c r="F45" s="161">
        <f t="shared" si="8"/>
        <v>2425855.4318964658</v>
      </c>
      <c r="G45" s="163">
        <f t="shared" si="9"/>
        <v>472234.01805349073</v>
      </c>
      <c r="H45" s="145">
        <f t="shared" si="10"/>
        <v>472234.01805349073</v>
      </c>
      <c r="I45" s="158">
        <f t="shared" si="6"/>
        <v>0</v>
      </c>
      <c r="J45" s="158"/>
      <c r="K45" s="316"/>
      <c r="L45" s="160">
        <f t="shared" si="11"/>
        <v>0</v>
      </c>
      <c r="M45" s="316"/>
      <c r="N45" s="160">
        <f t="shared" si="4"/>
        <v>0</v>
      </c>
      <c r="O45" s="160">
        <f t="shared" si="5"/>
        <v>0</v>
      </c>
      <c r="P45" s="4"/>
      <c r="R45" s="1"/>
      <c r="S45" s="1"/>
      <c r="T45" s="1"/>
      <c r="U45" s="1"/>
    </row>
    <row r="46" spans="2:21">
      <c r="B46" t="str">
        <f t="shared" si="0"/>
        <v/>
      </c>
      <c r="C46" s="155">
        <f>IF(D11="","-",+C45+1)</f>
        <v>2042</v>
      </c>
      <c r="D46" s="164">
        <f>IF(F45+SUM(E$17:E45)=D$10,F45,D$10-SUM(E$17:E45))</f>
        <v>2425855.4318964658</v>
      </c>
      <c r="E46" s="162">
        <f t="shared" si="7"/>
        <v>176829.81385654397</v>
      </c>
      <c r="F46" s="161">
        <f t="shared" si="8"/>
        <v>2249025.6180399219</v>
      </c>
      <c r="G46" s="163">
        <f t="shared" si="9"/>
        <v>451458.10162399343</v>
      </c>
      <c r="H46" s="145">
        <f t="shared" si="10"/>
        <v>451458.10162399343</v>
      </c>
      <c r="I46" s="158">
        <f t="shared" si="6"/>
        <v>0</v>
      </c>
      <c r="J46" s="158"/>
      <c r="K46" s="316"/>
      <c r="L46" s="160">
        <f t="shared" si="11"/>
        <v>0</v>
      </c>
      <c r="M46" s="316"/>
      <c r="N46" s="160">
        <f t="shared" si="4"/>
        <v>0</v>
      </c>
      <c r="O46" s="160">
        <f t="shared" si="5"/>
        <v>0</v>
      </c>
      <c r="P46" s="4"/>
      <c r="R46" s="1"/>
      <c r="S46" s="1"/>
      <c r="T46" s="1"/>
      <c r="U46" s="1"/>
    </row>
    <row r="47" spans="2:21">
      <c r="B47" t="str">
        <f t="shared" si="0"/>
        <v/>
      </c>
      <c r="C47" s="155">
        <f>IF(D11="","-",+C46+1)</f>
        <v>2043</v>
      </c>
      <c r="D47" s="164">
        <f>IF(F46+SUM(E$17:E46)=D$10,F46,D$10-SUM(E$17:E46))</f>
        <v>2249025.6180399219</v>
      </c>
      <c r="E47" s="162">
        <f t="shared" si="7"/>
        <v>176829.81385654397</v>
      </c>
      <c r="F47" s="161">
        <f t="shared" si="8"/>
        <v>2072195.8041833779</v>
      </c>
      <c r="G47" s="163">
        <f t="shared" si="9"/>
        <v>430682.18519449618</v>
      </c>
      <c r="H47" s="145">
        <f t="shared" si="10"/>
        <v>430682.18519449618</v>
      </c>
      <c r="I47" s="158">
        <f t="shared" si="6"/>
        <v>0</v>
      </c>
      <c r="J47" s="158"/>
      <c r="K47" s="316"/>
      <c r="L47" s="160">
        <f t="shared" si="11"/>
        <v>0</v>
      </c>
      <c r="M47" s="316"/>
      <c r="N47" s="160">
        <f t="shared" si="4"/>
        <v>0</v>
      </c>
      <c r="O47" s="160">
        <f t="shared" si="5"/>
        <v>0</v>
      </c>
      <c r="P47" s="4"/>
      <c r="R47" s="1"/>
      <c r="S47" s="1"/>
      <c r="T47" s="1"/>
      <c r="U47" s="1"/>
    </row>
    <row r="48" spans="2:21">
      <c r="B48" t="str">
        <f t="shared" si="0"/>
        <v/>
      </c>
      <c r="C48" s="155">
        <f>IF(D11="","-",+C47+1)</f>
        <v>2044</v>
      </c>
      <c r="D48" s="164">
        <f>IF(F47+SUM(E$17:E47)=D$10,F47,D$10-SUM(E$17:E47))</f>
        <v>2072195.8041833779</v>
      </c>
      <c r="E48" s="162">
        <f t="shared" si="7"/>
        <v>176829.81385654397</v>
      </c>
      <c r="F48" s="161">
        <f t="shared" si="8"/>
        <v>1895365.9903268339</v>
      </c>
      <c r="G48" s="163">
        <f t="shared" si="9"/>
        <v>409906.26876499888</v>
      </c>
      <c r="H48" s="145">
        <f t="shared" si="10"/>
        <v>409906.26876499888</v>
      </c>
      <c r="I48" s="158">
        <f t="shared" si="6"/>
        <v>0</v>
      </c>
      <c r="J48" s="158"/>
      <c r="K48" s="316"/>
      <c r="L48" s="160">
        <f t="shared" si="11"/>
        <v>0</v>
      </c>
      <c r="M48" s="316"/>
      <c r="N48" s="160">
        <f t="shared" si="4"/>
        <v>0</v>
      </c>
      <c r="O48" s="160">
        <f t="shared" si="5"/>
        <v>0</v>
      </c>
      <c r="P48" s="4"/>
      <c r="R48" s="1"/>
      <c r="S48" s="1"/>
      <c r="T48" s="1"/>
      <c r="U48" s="1"/>
    </row>
    <row r="49" spans="2:21">
      <c r="B49" t="str">
        <f t="shared" si="0"/>
        <v/>
      </c>
      <c r="C49" s="155">
        <f>IF(D11="","-",+C48+1)</f>
        <v>2045</v>
      </c>
      <c r="D49" s="164">
        <f>IF(F48+SUM(E$17:E48)=D$10,F48,D$10-SUM(E$17:E48))</f>
        <v>1895365.9903268339</v>
      </c>
      <c r="E49" s="162">
        <f t="shared" si="7"/>
        <v>176829.81385654397</v>
      </c>
      <c r="F49" s="161">
        <f t="shared" si="8"/>
        <v>1718536.1764702899</v>
      </c>
      <c r="G49" s="163">
        <f t="shared" si="9"/>
        <v>389130.35233550158</v>
      </c>
      <c r="H49" s="145">
        <f t="shared" si="10"/>
        <v>389130.35233550158</v>
      </c>
      <c r="I49" s="158">
        <f t="shared" si="6"/>
        <v>0</v>
      </c>
      <c r="J49" s="158"/>
      <c r="K49" s="316"/>
      <c r="L49" s="160">
        <f t="shared" si="11"/>
        <v>0</v>
      </c>
      <c r="M49" s="316"/>
      <c r="N49" s="160">
        <f t="shared" si="4"/>
        <v>0</v>
      </c>
      <c r="O49" s="160">
        <f t="shared" si="5"/>
        <v>0</v>
      </c>
      <c r="P49" s="4"/>
      <c r="R49" s="1"/>
      <c r="S49" s="1"/>
      <c r="T49" s="1"/>
      <c r="U49" s="1"/>
    </row>
    <row r="50" spans="2:21">
      <c r="B50" t="str">
        <f t="shared" si="0"/>
        <v/>
      </c>
      <c r="C50" s="155">
        <f>IF(D11="","-",+C49+1)</f>
        <v>2046</v>
      </c>
      <c r="D50" s="164">
        <f>IF(F49+SUM(E$17:E49)=D$10,F49,D$10-SUM(E$17:E49))</f>
        <v>1718536.1764702899</v>
      </c>
      <c r="E50" s="162">
        <f t="shared" si="7"/>
        <v>176829.81385654397</v>
      </c>
      <c r="F50" s="161">
        <f t="shared" si="8"/>
        <v>1541706.362613746</v>
      </c>
      <c r="G50" s="163">
        <f t="shared" si="9"/>
        <v>368354.43590600428</v>
      </c>
      <c r="H50" s="145">
        <f t="shared" si="10"/>
        <v>368354.43590600428</v>
      </c>
      <c r="I50" s="158">
        <f t="shared" si="6"/>
        <v>0</v>
      </c>
      <c r="J50" s="158"/>
      <c r="K50" s="316"/>
      <c r="L50" s="160">
        <f t="shared" si="11"/>
        <v>0</v>
      </c>
      <c r="M50" s="316"/>
      <c r="N50" s="160">
        <f t="shared" si="4"/>
        <v>0</v>
      </c>
      <c r="O50" s="160">
        <f t="shared" si="5"/>
        <v>0</v>
      </c>
      <c r="P50" s="4"/>
      <c r="R50" s="1"/>
      <c r="S50" s="1"/>
      <c r="T50" s="1"/>
      <c r="U50" s="1"/>
    </row>
    <row r="51" spans="2:21">
      <c r="B51" t="str">
        <f t="shared" si="0"/>
        <v/>
      </c>
      <c r="C51" s="155">
        <f>IF(D11="","-",+C50+1)</f>
        <v>2047</v>
      </c>
      <c r="D51" s="164">
        <f>IF(F50+SUM(E$17:E50)=D$10,F50,D$10-SUM(E$17:E50))</f>
        <v>1541706.362613746</v>
      </c>
      <c r="E51" s="162">
        <f t="shared" si="7"/>
        <v>176829.81385654397</v>
      </c>
      <c r="F51" s="161">
        <f t="shared" si="8"/>
        <v>1364876.548757202</v>
      </c>
      <c r="G51" s="163">
        <f t="shared" si="9"/>
        <v>347578.51947650698</v>
      </c>
      <c r="H51" s="145">
        <f t="shared" si="10"/>
        <v>347578.51947650698</v>
      </c>
      <c r="I51" s="158">
        <f t="shared" si="6"/>
        <v>0</v>
      </c>
      <c r="J51" s="158"/>
      <c r="K51" s="316"/>
      <c r="L51" s="160">
        <f t="shared" si="11"/>
        <v>0</v>
      </c>
      <c r="M51" s="316"/>
      <c r="N51" s="160">
        <f t="shared" si="4"/>
        <v>0</v>
      </c>
      <c r="O51" s="160">
        <f t="shared" si="5"/>
        <v>0</v>
      </c>
      <c r="P51" s="4"/>
      <c r="R51" s="1"/>
      <c r="S51" s="1"/>
      <c r="T51" s="1"/>
      <c r="U51" s="1"/>
    </row>
    <row r="52" spans="2:21">
      <c r="B52" t="str">
        <f t="shared" si="0"/>
        <v/>
      </c>
      <c r="C52" s="155">
        <f>IF(D11="","-",+C51+1)</f>
        <v>2048</v>
      </c>
      <c r="D52" s="164">
        <f>IF(F51+SUM(E$17:E51)=D$10,F51,D$10-SUM(E$17:E51))</f>
        <v>1364876.548757202</v>
      </c>
      <c r="E52" s="162">
        <f t="shared" si="7"/>
        <v>176829.81385654397</v>
      </c>
      <c r="F52" s="161">
        <f t="shared" si="8"/>
        <v>1188046.734900658</v>
      </c>
      <c r="G52" s="163">
        <f t="shared" si="9"/>
        <v>326802.60304700967</v>
      </c>
      <c r="H52" s="145">
        <f t="shared" si="10"/>
        <v>326802.60304700967</v>
      </c>
      <c r="I52" s="158">
        <f t="shared" si="6"/>
        <v>0</v>
      </c>
      <c r="J52" s="158"/>
      <c r="K52" s="316"/>
      <c r="L52" s="160">
        <f t="shared" si="11"/>
        <v>0</v>
      </c>
      <c r="M52" s="316"/>
      <c r="N52" s="160">
        <f t="shared" si="4"/>
        <v>0</v>
      </c>
      <c r="O52" s="160">
        <f t="shared" si="5"/>
        <v>0</v>
      </c>
      <c r="P52" s="4"/>
      <c r="R52" s="1"/>
      <c r="S52" s="1"/>
      <c r="T52" s="1"/>
      <c r="U52" s="1"/>
    </row>
    <row r="53" spans="2:21">
      <c r="B53" t="str">
        <f t="shared" si="0"/>
        <v/>
      </c>
      <c r="C53" s="155">
        <f>IF(D11="","-",+C52+1)</f>
        <v>2049</v>
      </c>
      <c r="D53" s="164">
        <f>IF(F52+SUM(E$17:E52)=D$10,F52,D$10-SUM(E$17:E52))</f>
        <v>1188046.734900658</v>
      </c>
      <c r="E53" s="162">
        <f t="shared" si="7"/>
        <v>176829.81385654397</v>
      </c>
      <c r="F53" s="161">
        <f t="shared" si="8"/>
        <v>1011216.921044114</v>
      </c>
      <c r="G53" s="163">
        <f t="shared" si="9"/>
        <v>306026.68661751237</v>
      </c>
      <c r="H53" s="145">
        <f t="shared" si="10"/>
        <v>306026.68661751237</v>
      </c>
      <c r="I53" s="158">
        <f t="shared" si="6"/>
        <v>0</v>
      </c>
      <c r="J53" s="158"/>
      <c r="K53" s="316"/>
      <c r="L53" s="160">
        <f t="shared" si="11"/>
        <v>0</v>
      </c>
      <c r="M53" s="316"/>
      <c r="N53" s="160">
        <f t="shared" si="4"/>
        <v>0</v>
      </c>
      <c r="O53" s="160">
        <f t="shared" si="5"/>
        <v>0</v>
      </c>
      <c r="P53" s="4"/>
      <c r="R53" s="1"/>
      <c r="S53" s="1"/>
      <c r="T53" s="1"/>
      <c r="U53" s="1"/>
    </row>
    <row r="54" spans="2:21">
      <c r="B54" t="str">
        <f t="shared" si="0"/>
        <v/>
      </c>
      <c r="C54" s="155">
        <f>IF(D11="","-",+C53+1)</f>
        <v>2050</v>
      </c>
      <c r="D54" s="164">
        <f>IF(F53+SUM(E$17:E53)=D$10,F53,D$10-SUM(E$17:E53))</f>
        <v>1011216.921044114</v>
      </c>
      <c r="E54" s="162">
        <f t="shared" si="7"/>
        <v>176829.81385654397</v>
      </c>
      <c r="F54" s="161">
        <f t="shared" si="8"/>
        <v>834387.10718757007</v>
      </c>
      <c r="G54" s="163">
        <f t="shared" si="9"/>
        <v>285250.77018801507</v>
      </c>
      <c r="H54" s="145">
        <f t="shared" si="10"/>
        <v>285250.77018801507</v>
      </c>
      <c r="I54" s="158">
        <f t="shared" si="6"/>
        <v>0</v>
      </c>
      <c r="J54" s="158"/>
      <c r="K54" s="316"/>
      <c r="L54" s="160">
        <f t="shared" si="11"/>
        <v>0</v>
      </c>
      <c r="M54" s="316"/>
      <c r="N54" s="160">
        <f t="shared" si="4"/>
        <v>0</v>
      </c>
      <c r="O54" s="160">
        <f t="shared" si="5"/>
        <v>0</v>
      </c>
      <c r="P54" s="4"/>
      <c r="R54" s="1"/>
      <c r="S54" s="1"/>
      <c r="T54" s="1"/>
      <c r="U54" s="1"/>
    </row>
    <row r="55" spans="2:21">
      <c r="B55" t="str">
        <f t="shared" si="0"/>
        <v/>
      </c>
      <c r="C55" s="155">
        <f>IF(D11="","-",+C54+1)</f>
        <v>2051</v>
      </c>
      <c r="D55" s="164">
        <f>IF(F54+SUM(E$17:E54)=D$10,F54,D$10-SUM(E$17:E54))</f>
        <v>834387.10718757007</v>
      </c>
      <c r="E55" s="162">
        <f t="shared" si="7"/>
        <v>176829.81385654397</v>
      </c>
      <c r="F55" s="161">
        <f t="shared" si="8"/>
        <v>657557.2933310261</v>
      </c>
      <c r="G55" s="163">
        <f t="shared" si="9"/>
        <v>264474.85375851777</v>
      </c>
      <c r="H55" s="145">
        <f t="shared" si="10"/>
        <v>264474.85375851777</v>
      </c>
      <c r="I55" s="158">
        <f t="shared" si="6"/>
        <v>0</v>
      </c>
      <c r="J55" s="158"/>
      <c r="K55" s="316"/>
      <c r="L55" s="160">
        <f t="shared" si="11"/>
        <v>0</v>
      </c>
      <c r="M55" s="316"/>
      <c r="N55" s="160">
        <f t="shared" si="4"/>
        <v>0</v>
      </c>
      <c r="O55" s="160">
        <f t="shared" si="5"/>
        <v>0</v>
      </c>
      <c r="P55" s="4"/>
      <c r="R55" s="1"/>
      <c r="S55" s="1"/>
      <c r="T55" s="1"/>
      <c r="U55" s="1"/>
    </row>
    <row r="56" spans="2:21">
      <c r="B56" t="str">
        <f t="shared" si="0"/>
        <v/>
      </c>
      <c r="C56" s="155">
        <f>IF(D11="","-",+C55+1)</f>
        <v>2052</v>
      </c>
      <c r="D56" s="164">
        <f>IF(F55+SUM(E$17:E55)=D$10,F55,D$10-SUM(E$17:E55))</f>
        <v>657557.2933310261</v>
      </c>
      <c r="E56" s="162">
        <f t="shared" si="7"/>
        <v>176829.81385654397</v>
      </c>
      <c r="F56" s="161">
        <f t="shared" si="8"/>
        <v>480727.47947448213</v>
      </c>
      <c r="G56" s="163">
        <f t="shared" si="9"/>
        <v>243698.9373290205</v>
      </c>
      <c r="H56" s="145">
        <f t="shared" si="10"/>
        <v>243698.9373290205</v>
      </c>
      <c r="I56" s="158">
        <f t="shared" si="6"/>
        <v>0</v>
      </c>
      <c r="J56" s="158"/>
      <c r="K56" s="316"/>
      <c r="L56" s="160">
        <f t="shared" si="11"/>
        <v>0</v>
      </c>
      <c r="M56" s="316"/>
      <c r="N56" s="160">
        <f t="shared" si="4"/>
        <v>0</v>
      </c>
      <c r="O56" s="160">
        <f t="shared" si="5"/>
        <v>0</v>
      </c>
      <c r="P56" s="4"/>
      <c r="R56" s="1"/>
      <c r="S56" s="1"/>
      <c r="T56" s="1"/>
      <c r="U56" s="1"/>
    </row>
    <row r="57" spans="2:21">
      <c r="B57" t="str">
        <f t="shared" si="0"/>
        <v/>
      </c>
      <c r="C57" s="155">
        <f>IF(D11="","-",+C56+1)</f>
        <v>2053</v>
      </c>
      <c r="D57" s="164">
        <f>IF(F56+SUM(E$17:E56)=D$10,F56,D$10-SUM(E$17:E56))</f>
        <v>480727.47947448213</v>
      </c>
      <c r="E57" s="162">
        <f t="shared" si="7"/>
        <v>176829.81385654397</v>
      </c>
      <c r="F57" s="161">
        <f t="shared" si="8"/>
        <v>303897.66561793815</v>
      </c>
      <c r="G57" s="163">
        <f t="shared" si="9"/>
        <v>222923.0208995232</v>
      </c>
      <c r="H57" s="145">
        <f t="shared" si="10"/>
        <v>222923.0208995232</v>
      </c>
      <c r="I57" s="158">
        <f t="shared" si="6"/>
        <v>0</v>
      </c>
      <c r="J57" s="158"/>
      <c r="K57" s="316"/>
      <c r="L57" s="160">
        <f t="shared" si="11"/>
        <v>0</v>
      </c>
      <c r="M57" s="316"/>
      <c r="N57" s="160">
        <f t="shared" si="4"/>
        <v>0</v>
      </c>
      <c r="O57" s="160">
        <f t="shared" si="5"/>
        <v>0</v>
      </c>
      <c r="P57" s="4"/>
      <c r="R57" s="1"/>
      <c r="S57" s="1"/>
      <c r="T57" s="1"/>
      <c r="U57" s="1"/>
    </row>
    <row r="58" spans="2:21">
      <c r="B58" t="str">
        <f t="shared" si="0"/>
        <v/>
      </c>
      <c r="C58" s="155">
        <f>IF(D11="","-",+C57+1)</f>
        <v>2054</v>
      </c>
      <c r="D58" s="164">
        <f>IF(F57+SUM(E$17:E57)=D$10,F57,D$10-SUM(E$17:E57))</f>
        <v>303897.66561793815</v>
      </c>
      <c r="E58" s="162">
        <f t="shared" si="7"/>
        <v>176829.81385654397</v>
      </c>
      <c r="F58" s="161">
        <f t="shared" si="8"/>
        <v>127067.85176139418</v>
      </c>
      <c r="G58" s="163">
        <f t="shared" si="9"/>
        <v>202147.10447002589</v>
      </c>
      <c r="H58" s="145">
        <f t="shared" si="10"/>
        <v>202147.10447002589</v>
      </c>
      <c r="I58" s="158">
        <f t="shared" si="6"/>
        <v>0</v>
      </c>
      <c r="J58" s="158"/>
      <c r="K58" s="316"/>
      <c r="L58" s="160">
        <f t="shared" si="11"/>
        <v>0</v>
      </c>
      <c r="M58" s="316"/>
      <c r="N58" s="160">
        <f t="shared" si="4"/>
        <v>0</v>
      </c>
      <c r="O58" s="160">
        <f t="shared" si="5"/>
        <v>0</v>
      </c>
      <c r="P58" s="4"/>
      <c r="R58" s="1"/>
      <c r="S58" s="1"/>
      <c r="T58" s="1"/>
      <c r="U58" s="1"/>
    </row>
    <row r="59" spans="2:21">
      <c r="B59" t="str">
        <f t="shared" si="0"/>
        <v/>
      </c>
      <c r="C59" s="155">
        <f>IF(D11="","-",+C58+1)</f>
        <v>2055</v>
      </c>
      <c r="D59" s="164">
        <f>IF(F58+SUM(E$17:E58)=D$10,F58,D$10-SUM(E$17:E58))</f>
        <v>127067.85176139418</v>
      </c>
      <c r="E59" s="162">
        <f t="shared" si="7"/>
        <v>127067.85176139418</v>
      </c>
      <c r="F59" s="161">
        <f t="shared" si="8"/>
        <v>0</v>
      </c>
      <c r="G59" s="163">
        <f t="shared" si="9"/>
        <v>134532.51796076083</v>
      </c>
      <c r="H59" s="145">
        <f t="shared" si="10"/>
        <v>134532.51796076083</v>
      </c>
      <c r="I59" s="158">
        <f t="shared" si="6"/>
        <v>0</v>
      </c>
      <c r="J59" s="158"/>
      <c r="K59" s="316"/>
      <c r="L59" s="160">
        <f t="shared" si="11"/>
        <v>0</v>
      </c>
      <c r="M59" s="316"/>
      <c r="N59" s="160">
        <f t="shared" si="4"/>
        <v>0</v>
      </c>
      <c r="O59" s="160">
        <f t="shared" si="5"/>
        <v>0</v>
      </c>
      <c r="P59" s="4"/>
      <c r="R59" s="1"/>
      <c r="S59" s="1"/>
      <c r="T59" s="1"/>
      <c r="U59" s="1"/>
    </row>
    <row r="60" spans="2:21">
      <c r="B60" t="str">
        <f t="shared" si="0"/>
        <v/>
      </c>
      <c r="C60" s="155">
        <f>IF(D11="","-",+C59+1)</f>
        <v>2056</v>
      </c>
      <c r="D60" s="164">
        <f>IF(F59+SUM(E$17:E59)=D$10,F59,D$10-SUM(E$17:E59))</f>
        <v>0</v>
      </c>
      <c r="E60" s="162">
        <f t="shared" si="7"/>
        <v>0</v>
      </c>
      <c r="F60" s="161">
        <f t="shared" si="8"/>
        <v>0</v>
      </c>
      <c r="G60" s="163">
        <f t="shared" si="9"/>
        <v>0</v>
      </c>
      <c r="H60" s="145">
        <f t="shared" si="10"/>
        <v>0</v>
      </c>
      <c r="I60" s="158">
        <f t="shared" si="6"/>
        <v>0</v>
      </c>
      <c r="J60" s="158"/>
      <c r="K60" s="316"/>
      <c r="L60" s="160">
        <f t="shared" si="11"/>
        <v>0</v>
      </c>
      <c r="M60" s="316"/>
      <c r="N60" s="160">
        <f t="shared" si="4"/>
        <v>0</v>
      </c>
      <c r="O60" s="160">
        <f t="shared" si="5"/>
        <v>0</v>
      </c>
      <c r="P60" s="4"/>
      <c r="R60" s="1"/>
      <c r="S60" s="1"/>
      <c r="T60" s="1"/>
      <c r="U60" s="1"/>
    </row>
    <row r="61" spans="2:21">
      <c r="B61" t="str">
        <f t="shared" si="0"/>
        <v/>
      </c>
      <c r="C61" s="155">
        <f>IF(D11="","-",+C60+1)</f>
        <v>2057</v>
      </c>
      <c r="D61" s="164">
        <f>IF(F60+SUM(E$17:E60)=D$10,F60,D$10-SUM(E$17:E60))</f>
        <v>0</v>
      </c>
      <c r="E61" s="162">
        <f t="shared" si="7"/>
        <v>0</v>
      </c>
      <c r="F61" s="161">
        <f t="shared" si="8"/>
        <v>0</v>
      </c>
      <c r="G61" s="163">
        <f t="shared" si="9"/>
        <v>0</v>
      </c>
      <c r="H61" s="145">
        <f t="shared" si="10"/>
        <v>0</v>
      </c>
      <c r="I61" s="158">
        <f t="shared" si="6"/>
        <v>0</v>
      </c>
      <c r="J61" s="158"/>
      <c r="K61" s="316"/>
      <c r="L61" s="160">
        <f t="shared" si="11"/>
        <v>0</v>
      </c>
      <c r="M61" s="316"/>
      <c r="N61" s="160">
        <f t="shared" si="4"/>
        <v>0</v>
      </c>
      <c r="O61" s="160">
        <f t="shared" si="5"/>
        <v>0</v>
      </c>
      <c r="P61" s="4"/>
      <c r="R61" s="1"/>
      <c r="S61" s="1"/>
      <c r="T61" s="1"/>
      <c r="U61" s="1"/>
    </row>
    <row r="62" spans="2:21">
      <c r="B62" t="str">
        <f t="shared" si="0"/>
        <v/>
      </c>
      <c r="C62" s="155">
        <f>IF(D11="","-",+C61+1)</f>
        <v>2058</v>
      </c>
      <c r="D62" s="164">
        <f>IF(F61+SUM(E$17:E61)=D$10,F61,D$10-SUM(E$17:E61))</f>
        <v>0</v>
      </c>
      <c r="E62" s="162">
        <f t="shared" si="7"/>
        <v>0</v>
      </c>
      <c r="F62" s="161">
        <f t="shared" si="8"/>
        <v>0</v>
      </c>
      <c r="G62" s="163">
        <f t="shared" si="9"/>
        <v>0</v>
      </c>
      <c r="H62" s="145">
        <f t="shared" si="10"/>
        <v>0</v>
      </c>
      <c r="I62" s="158">
        <f t="shared" si="6"/>
        <v>0</v>
      </c>
      <c r="J62" s="158"/>
      <c r="K62" s="316"/>
      <c r="L62" s="160">
        <f t="shared" si="11"/>
        <v>0</v>
      </c>
      <c r="M62" s="316"/>
      <c r="N62" s="160">
        <f t="shared" si="4"/>
        <v>0</v>
      </c>
      <c r="O62" s="160">
        <f t="shared" si="5"/>
        <v>0</v>
      </c>
      <c r="P62" s="4"/>
      <c r="R62" s="1"/>
      <c r="S62" s="1"/>
      <c r="T62" s="1"/>
      <c r="U62" s="1"/>
    </row>
    <row r="63" spans="2:21">
      <c r="B63" t="str">
        <f t="shared" si="0"/>
        <v/>
      </c>
      <c r="C63" s="155">
        <f>IF(D11="","-",+C62+1)</f>
        <v>2059</v>
      </c>
      <c r="D63" s="164">
        <f>IF(F62+SUM(E$17:E62)=D$10,F62,D$10-SUM(E$17:E62))</f>
        <v>0</v>
      </c>
      <c r="E63" s="162">
        <f t="shared" si="7"/>
        <v>0</v>
      </c>
      <c r="F63" s="161">
        <f t="shared" si="8"/>
        <v>0</v>
      </c>
      <c r="G63" s="163">
        <f t="shared" si="9"/>
        <v>0</v>
      </c>
      <c r="H63" s="145">
        <f t="shared" si="10"/>
        <v>0</v>
      </c>
      <c r="I63" s="158">
        <f t="shared" si="6"/>
        <v>0</v>
      </c>
      <c r="J63" s="158"/>
      <c r="K63" s="316"/>
      <c r="L63" s="160">
        <f t="shared" si="11"/>
        <v>0</v>
      </c>
      <c r="M63" s="316"/>
      <c r="N63" s="160">
        <f t="shared" si="4"/>
        <v>0</v>
      </c>
      <c r="O63" s="160">
        <f t="shared" si="5"/>
        <v>0</v>
      </c>
      <c r="P63" s="4"/>
      <c r="R63" s="1"/>
      <c r="S63" s="1"/>
      <c r="T63" s="1"/>
      <c r="U63" s="1"/>
    </row>
    <row r="64" spans="2:21">
      <c r="B64" t="str">
        <f>IF(D64=F63,"","IU")</f>
        <v/>
      </c>
      <c r="C64" s="155">
        <f>IF(D11="","-",+C63+1)</f>
        <v>2060</v>
      </c>
      <c r="D64" s="164">
        <f>IF(F63+SUM(E$17:E63)=D$10,F63,D$10-SUM(E$17:E63))</f>
        <v>0</v>
      </c>
      <c r="E64" s="162">
        <f t="shared" si="7"/>
        <v>0</v>
      </c>
      <c r="F64" s="161">
        <f t="shared" si="8"/>
        <v>0</v>
      </c>
      <c r="G64" s="163">
        <f t="shared" si="9"/>
        <v>0</v>
      </c>
      <c r="H64" s="145">
        <f t="shared" si="10"/>
        <v>0</v>
      </c>
      <c r="I64" s="158">
        <f t="shared" si="6"/>
        <v>0</v>
      </c>
      <c r="J64" s="158"/>
      <c r="K64" s="316"/>
      <c r="L64" s="160">
        <f t="shared" si="11"/>
        <v>0</v>
      </c>
      <c r="M64" s="316"/>
      <c r="N64" s="160">
        <f t="shared" si="4"/>
        <v>0</v>
      </c>
      <c r="O64" s="160">
        <f t="shared" si="5"/>
        <v>0</v>
      </c>
      <c r="P64" s="4"/>
      <c r="R64" s="1"/>
      <c r="S64" s="1"/>
      <c r="T64" s="1"/>
      <c r="U64" s="1"/>
    </row>
    <row r="65" spans="2:21">
      <c r="B65" t="str">
        <f t="shared" si="0"/>
        <v/>
      </c>
      <c r="C65" s="155">
        <f>IF(D11="","-",+C64+1)</f>
        <v>2061</v>
      </c>
      <c r="D65" s="164">
        <f>IF(F64+SUM(E$17:E64)=D$10,F64,D$10-SUM(E$17:E64))</f>
        <v>0</v>
      </c>
      <c r="E65" s="162">
        <f t="shared" si="7"/>
        <v>0</v>
      </c>
      <c r="F65" s="161">
        <f t="shared" si="8"/>
        <v>0</v>
      </c>
      <c r="G65" s="163">
        <f t="shared" si="9"/>
        <v>0</v>
      </c>
      <c r="H65" s="145">
        <f t="shared" si="10"/>
        <v>0</v>
      </c>
      <c r="I65" s="158">
        <f t="shared" si="6"/>
        <v>0</v>
      </c>
      <c r="J65" s="158"/>
      <c r="K65" s="316"/>
      <c r="L65" s="160">
        <f t="shared" si="11"/>
        <v>0</v>
      </c>
      <c r="M65" s="316"/>
      <c r="N65" s="160">
        <f t="shared" si="4"/>
        <v>0</v>
      </c>
      <c r="O65" s="160">
        <f t="shared" si="5"/>
        <v>0</v>
      </c>
      <c r="P65" s="4"/>
      <c r="R65" s="1"/>
      <c r="S65" s="1"/>
      <c r="T65" s="1"/>
      <c r="U65" s="1"/>
    </row>
    <row r="66" spans="2:21">
      <c r="B66" t="str">
        <f t="shared" si="0"/>
        <v/>
      </c>
      <c r="C66" s="155">
        <f>IF(D11="","-",+C65+1)</f>
        <v>2062</v>
      </c>
      <c r="D66" s="164">
        <f>IF(F65+SUM(E$17:E65)=D$10,F65,D$10-SUM(E$17:E65))</f>
        <v>0</v>
      </c>
      <c r="E66" s="162">
        <f t="shared" si="7"/>
        <v>0</v>
      </c>
      <c r="F66" s="161">
        <f t="shared" si="8"/>
        <v>0</v>
      </c>
      <c r="G66" s="163">
        <f t="shared" si="9"/>
        <v>0</v>
      </c>
      <c r="H66" s="145">
        <f t="shared" si="10"/>
        <v>0</v>
      </c>
      <c r="I66" s="158">
        <f t="shared" si="6"/>
        <v>0</v>
      </c>
      <c r="J66" s="158"/>
      <c r="K66" s="316"/>
      <c r="L66" s="160">
        <f t="shared" si="11"/>
        <v>0</v>
      </c>
      <c r="M66" s="316"/>
      <c r="N66" s="160">
        <f t="shared" si="4"/>
        <v>0</v>
      </c>
      <c r="O66" s="160">
        <f t="shared" si="5"/>
        <v>0</v>
      </c>
      <c r="P66" s="4"/>
      <c r="R66" s="1"/>
      <c r="S66" s="1"/>
      <c r="T66" s="1"/>
      <c r="U66" s="1"/>
    </row>
    <row r="67" spans="2:21">
      <c r="B67" t="str">
        <f t="shared" si="0"/>
        <v/>
      </c>
      <c r="C67" s="155">
        <f>IF(D11="","-",+C66+1)</f>
        <v>2063</v>
      </c>
      <c r="D67" s="164">
        <f>IF(F66+SUM(E$17:E66)=D$10,F66,D$10-SUM(E$17:E66))</f>
        <v>0</v>
      </c>
      <c r="E67" s="162">
        <f t="shared" si="7"/>
        <v>0</v>
      </c>
      <c r="F67" s="161">
        <f t="shared" si="8"/>
        <v>0</v>
      </c>
      <c r="G67" s="163">
        <f t="shared" si="9"/>
        <v>0</v>
      </c>
      <c r="H67" s="145">
        <f t="shared" si="10"/>
        <v>0</v>
      </c>
      <c r="I67" s="158">
        <f t="shared" si="6"/>
        <v>0</v>
      </c>
      <c r="J67" s="158"/>
      <c r="K67" s="316"/>
      <c r="L67" s="160">
        <f t="shared" si="11"/>
        <v>0</v>
      </c>
      <c r="M67" s="316"/>
      <c r="N67" s="160">
        <f t="shared" si="4"/>
        <v>0</v>
      </c>
      <c r="O67" s="160">
        <f t="shared" si="5"/>
        <v>0</v>
      </c>
      <c r="P67" s="4"/>
      <c r="R67" s="1"/>
      <c r="S67" s="1"/>
      <c r="T67" s="1"/>
      <c r="U67" s="1"/>
    </row>
    <row r="68" spans="2:21">
      <c r="B68" t="str">
        <f t="shared" si="0"/>
        <v/>
      </c>
      <c r="C68" s="155">
        <f>IF(D11="","-",+C67+1)</f>
        <v>2064</v>
      </c>
      <c r="D68" s="164">
        <f>IF(F67+SUM(E$17:E67)=D$10,F67,D$10-SUM(E$17:E67))</f>
        <v>0</v>
      </c>
      <c r="E68" s="162">
        <f t="shared" si="7"/>
        <v>0</v>
      </c>
      <c r="F68" s="161">
        <f t="shared" si="8"/>
        <v>0</v>
      </c>
      <c r="G68" s="163">
        <f t="shared" si="9"/>
        <v>0</v>
      </c>
      <c r="H68" s="145">
        <f t="shared" si="10"/>
        <v>0</v>
      </c>
      <c r="I68" s="158">
        <f t="shared" si="6"/>
        <v>0</v>
      </c>
      <c r="J68" s="158"/>
      <c r="K68" s="316"/>
      <c r="L68" s="160">
        <f t="shared" si="11"/>
        <v>0</v>
      </c>
      <c r="M68" s="316"/>
      <c r="N68" s="160">
        <f t="shared" si="4"/>
        <v>0</v>
      </c>
      <c r="O68" s="160">
        <f t="shared" si="5"/>
        <v>0</v>
      </c>
      <c r="P68" s="4"/>
      <c r="R68" s="1"/>
      <c r="S68" s="1"/>
      <c r="T68" s="1"/>
      <c r="U68" s="1"/>
    </row>
    <row r="69" spans="2:21">
      <c r="B69" t="str">
        <f t="shared" si="0"/>
        <v/>
      </c>
      <c r="C69" s="155">
        <f>IF(D11="","-",+C68+1)</f>
        <v>2065</v>
      </c>
      <c r="D69" s="164">
        <f>IF(F68+SUM(E$17:E68)=D$10,F68,D$10-SUM(E$17:E68))</f>
        <v>0</v>
      </c>
      <c r="E69" s="162">
        <f t="shared" si="7"/>
        <v>0</v>
      </c>
      <c r="F69" s="161">
        <f t="shared" si="8"/>
        <v>0</v>
      </c>
      <c r="G69" s="163">
        <f t="shared" si="9"/>
        <v>0</v>
      </c>
      <c r="H69" s="145">
        <f t="shared" si="10"/>
        <v>0</v>
      </c>
      <c r="I69" s="158">
        <f t="shared" si="6"/>
        <v>0</v>
      </c>
      <c r="J69" s="158"/>
      <c r="K69" s="316"/>
      <c r="L69" s="160">
        <f t="shared" si="11"/>
        <v>0</v>
      </c>
      <c r="M69" s="316"/>
      <c r="N69" s="160">
        <f t="shared" si="4"/>
        <v>0</v>
      </c>
      <c r="O69" s="160">
        <f t="shared" si="5"/>
        <v>0</v>
      </c>
      <c r="P69" s="4"/>
      <c r="R69" s="1"/>
      <c r="S69" s="1"/>
      <c r="T69" s="1"/>
      <c r="U69" s="1"/>
    </row>
    <row r="70" spans="2:21">
      <c r="B70" t="str">
        <f t="shared" si="0"/>
        <v/>
      </c>
      <c r="C70" s="155">
        <f>IF(D11="","-",+C69+1)</f>
        <v>2066</v>
      </c>
      <c r="D70" s="164">
        <f>IF(F69+SUM(E$17:E69)=D$10,F69,D$10-SUM(E$17:E69))</f>
        <v>0</v>
      </c>
      <c r="E70" s="162">
        <f t="shared" si="7"/>
        <v>0</v>
      </c>
      <c r="F70" s="161">
        <f t="shared" si="8"/>
        <v>0</v>
      </c>
      <c r="G70" s="163">
        <f t="shared" si="9"/>
        <v>0</v>
      </c>
      <c r="H70" s="145">
        <f t="shared" si="10"/>
        <v>0</v>
      </c>
      <c r="I70" s="158">
        <f t="shared" si="6"/>
        <v>0</v>
      </c>
      <c r="J70" s="158"/>
      <c r="K70" s="316"/>
      <c r="L70" s="160">
        <f t="shared" si="11"/>
        <v>0</v>
      </c>
      <c r="M70" s="316"/>
      <c r="N70" s="160">
        <f t="shared" si="4"/>
        <v>0</v>
      </c>
      <c r="O70" s="160">
        <f t="shared" si="5"/>
        <v>0</v>
      </c>
      <c r="P70" s="4"/>
      <c r="R70" s="1"/>
      <c r="S70" s="1"/>
      <c r="T70" s="1"/>
      <c r="U70" s="1"/>
    </row>
    <row r="71" spans="2:21">
      <c r="B71" t="str">
        <f t="shared" si="0"/>
        <v/>
      </c>
      <c r="C71" s="155">
        <f>IF(D11="","-",+C70+1)</f>
        <v>2067</v>
      </c>
      <c r="D71" s="164">
        <f>IF(F70+SUM(E$17:E70)=D$10,F70,D$10-SUM(E$17:E70))</f>
        <v>0</v>
      </c>
      <c r="E71" s="162">
        <f t="shared" si="7"/>
        <v>0</v>
      </c>
      <c r="F71" s="161">
        <f t="shared" si="8"/>
        <v>0</v>
      </c>
      <c r="G71" s="163">
        <f t="shared" si="9"/>
        <v>0</v>
      </c>
      <c r="H71" s="145">
        <f t="shared" si="10"/>
        <v>0</v>
      </c>
      <c r="I71" s="158">
        <f t="shared" si="6"/>
        <v>0</v>
      </c>
      <c r="J71" s="158"/>
      <c r="K71" s="316"/>
      <c r="L71" s="160">
        <f t="shared" si="11"/>
        <v>0</v>
      </c>
      <c r="M71" s="316"/>
      <c r="N71" s="160">
        <f t="shared" si="4"/>
        <v>0</v>
      </c>
      <c r="O71" s="160">
        <f t="shared" si="5"/>
        <v>0</v>
      </c>
      <c r="P71" s="4"/>
      <c r="R71" s="1"/>
      <c r="S71" s="1"/>
      <c r="T71" s="1"/>
      <c r="U71" s="1"/>
    </row>
    <row r="72" spans="2:21">
      <c r="B72" t="str">
        <f t="shared" si="0"/>
        <v/>
      </c>
      <c r="C72" s="155">
        <f>IF(D11="","-",+C71+1)</f>
        <v>2068</v>
      </c>
      <c r="D72" s="164">
        <f>IF(F71+SUM(E$17:E71)=D$10,F71,D$10-SUM(E$17:E71))</f>
        <v>0</v>
      </c>
      <c r="E72" s="162">
        <f t="shared" si="7"/>
        <v>0</v>
      </c>
      <c r="F72" s="161">
        <f t="shared" si="8"/>
        <v>0</v>
      </c>
      <c r="G72" s="163">
        <f t="shared" si="9"/>
        <v>0</v>
      </c>
      <c r="H72" s="145">
        <f t="shared" si="10"/>
        <v>0</v>
      </c>
      <c r="I72" s="158">
        <f t="shared" si="6"/>
        <v>0</v>
      </c>
      <c r="J72" s="158"/>
      <c r="K72" s="316"/>
      <c r="L72" s="160">
        <f t="shared" si="11"/>
        <v>0</v>
      </c>
      <c r="M72" s="316"/>
      <c r="N72" s="160">
        <f t="shared" si="4"/>
        <v>0</v>
      </c>
      <c r="O72" s="160">
        <f t="shared" si="5"/>
        <v>0</v>
      </c>
      <c r="P72" s="4"/>
      <c r="R72" s="1"/>
      <c r="S72" s="1"/>
      <c r="T72" s="1"/>
      <c r="U72" s="1"/>
    </row>
    <row r="73" spans="2:21" ht="13.5" thickBot="1">
      <c r="B73" t="str">
        <f t="shared" si="0"/>
        <v/>
      </c>
      <c r="C73" s="166">
        <f>IF(D11="","-",+C72+1)</f>
        <v>2069</v>
      </c>
      <c r="D73" s="349">
        <f>IF(F72+SUM(E$17:E72)=D$10,F72,D$10-SUM(E$17:E72))</f>
        <v>0</v>
      </c>
      <c r="E73" s="168">
        <f t="shared" si="7"/>
        <v>0</v>
      </c>
      <c r="F73" s="167">
        <f t="shared" si="8"/>
        <v>0</v>
      </c>
      <c r="G73" s="167">
        <f t="shared" si="9"/>
        <v>0</v>
      </c>
      <c r="H73" s="167">
        <f t="shared" si="10"/>
        <v>0</v>
      </c>
      <c r="I73" s="170">
        <f t="shared" si="6"/>
        <v>0</v>
      </c>
      <c r="J73" s="158"/>
      <c r="K73" s="317"/>
      <c r="L73" s="171">
        <f t="shared" si="11"/>
        <v>0</v>
      </c>
      <c r="M73" s="317"/>
      <c r="N73" s="171">
        <f t="shared" si="4"/>
        <v>0</v>
      </c>
      <c r="O73" s="171">
        <f t="shared" si="5"/>
        <v>0</v>
      </c>
      <c r="P73" s="4"/>
      <c r="R73" s="1"/>
      <c r="S73" s="1"/>
      <c r="T73" s="1"/>
      <c r="U73" s="1"/>
    </row>
    <row r="74" spans="2:21">
      <c r="C74" s="156" t="s">
        <v>75</v>
      </c>
      <c r="D74" s="112"/>
      <c r="E74" s="112">
        <f>SUM(E17:E73)</f>
        <v>7210309</v>
      </c>
      <c r="F74" s="112"/>
      <c r="G74" s="112">
        <f>SUM(G17:G73)</f>
        <v>25027249.687690292</v>
      </c>
      <c r="H74" s="112">
        <f>SUM(H17:H73)</f>
        <v>25027249.687690292</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10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950080.0959319286</v>
      </c>
      <c r="N88" s="198">
        <f>IF(J93&lt;D11,0,VLOOKUP(J93,C17:O73,11))</f>
        <v>950080.0959319286</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901063.87001696113</v>
      </c>
      <c r="N89" s="200">
        <f>IF(J93&lt;D11,0,VLOOKUP(J93,C100:P155,7))</f>
        <v>901063.87001696113</v>
      </c>
      <c r="O89" s="201">
        <f>+N89-M89</f>
        <v>0</v>
      </c>
      <c r="P89" s="1"/>
      <c r="Q89" s="1"/>
      <c r="R89" s="1"/>
      <c r="S89" s="1"/>
      <c r="T89" s="1"/>
      <c r="U89" s="1"/>
    </row>
    <row r="90" spans="1:21" ht="13.5" thickBot="1">
      <c r="C90" s="124" t="s">
        <v>82</v>
      </c>
      <c r="D90" s="243" t="str">
        <f>+D7</f>
        <v>Wapanucka Customer Connection</v>
      </c>
      <c r="E90" s="1"/>
      <c r="F90" s="1"/>
      <c r="G90" s="1"/>
      <c r="H90" s="1"/>
      <c r="I90" s="3"/>
      <c r="J90" s="3"/>
      <c r="K90" s="256"/>
      <c r="L90" s="257" t="s">
        <v>135</v>
      </c>
      <c r="M90" s="203">
        <f>+M89-M88</f>
        <v>-49016.225914967479</v>
      </c>
      <c r="N90" s="203">
        <f>+N89-N88</f>
        <v>-49016.225914967479</v>
      </c>
      <c r="O90" s="204">
        <f>+O89-O88</f>
        <v>0</v>
      </c>
      <c r="P90" s="1"/>
      <c r="Q90" s="1"/>
      <c r="R90" s="1"/>
      <c r="S90" s="1"/>
      <c r="T90" s="1"/>
      <c r="U90" s="1"/>
    </row>
    <row r="91" spans="1:21" ht="13.5" thickBot="1">
      <c r="C91" s="172"/>
      <c r="D91" s="384" t="str">
        <f>IF(D8="","",D8)</f>
        <v>***Sch. 11 recovery commenced in 2015 rate year***</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TP2012141</v>
      </c>
      <c r="E92" s="206"/>
      <c r="F92" s="206"/>
      <c r="G92" s="206"/>
      <c r="H92" s="206"/>
      <c r="I92" s="206"/>
      <c r="J92" s="206"/>
      <c r="K92" s="207"/>
      <c r="P92" s="134"/>
      <c r="Q92" s="1"/>
      <c r="R92" s="1"/>
      <c r="S92" s="1"/>
      <c r="T92" s="1"/>
      <c r="U92" s="1"/>
    </row>
    <row r="93" spans="1:21">
      <c r="C93" s="139" t="s">
        <v>49</v>
      </c>
      <c r="D93" s="401">
        <v>7210309</v>
      </c>
      <c r="E93" s="23" t="s">
        <v>84</v>
      </c>
      <c r="H93" s="137"/>
      <c r="I93" s="137"/>
      <c r="J93" s="138">
        <f>+'OKT.WS.G.BPU.ATRR.True-up'!M16</f>
        <v>2018</v>
      </c>
      <c r="K93" s="133"/>
      <c r="L93" s="112" t="s">
        <v>85</v>
      </c>
      <c r="P93" s="4"/>
      <c r="Q93" s="1"/>
      <c r="R93" s="1"/>
      <c r="S93" s="1"/>
      <c r="T93" s="1"/>
      <c r="U93" s="1"/>
    </row>
    <row r="94" spans="1:21">
      <c r="C94" s="139" t="s">
        <v>52</v>
      </c>
      <c r="D94" s="218">
        <f>D11</f>
        <v>2013</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D12</f>
        <v>12</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200286.36111111112</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21" t="s">
        <v>71</v>
      </c>
      <c r="I99" s="151" t="s">
        <v>72</v>
      </c>
      <c r="J99" s="152" t="s">
        <v>93</v>
      </c>
      <c r="K99" s="153"/>
      <c r="L99" s="154" t="s">
        <v>74</v>
      </c>
      <c r="M99" s="154" t="s">
        <v>74</v>
      </c>
      <c r="N99" s="154" t="s">
        <v>94</v>
      </c>
      <c r="O99" s="154" t="s">
        <v>94</v>
      </c>
      <c r="P99" s="154" t="s">
        <v>94</v>
      </c>
      <c r="Q99" s="1"/>
      <c r="R99" s="1"/>
      <c r="S99" s="1"/>
      <c r="T99" s="1"/>
      <c r="U99" s="1"/>
    </row>
    <row r="100" spans="1:21">
      <c r="C100" s="155">
        <f>IF(D94= "","-",D94)</f>
        <v>2013</v>
      </c>
      <c r="D100" s="156"/>
      <c r="E100" s="163"/>
      <c r="F100" s="161"/>
      <c r="G100" s="213"/>
      <c r="H100" s="213"/>
      <c r="I100" s="213"/>
      <c r="J100" s="160"/>
      <c r="K100" s="160"/>
      <c r="L100" s="318"/>
      <c r="M100" s="340">
        <f t="shared" ref="M100:M131" si="12">IF(L100&lt;&gt;0,+H100-L100,0)</f>
        <v>0</v>
      </c>
      <c r="N100" s="318"/>
      <c r="O100" s="159">
        <f t="shared" ref="O100:O131" si="13">IF(N100&lt;&gt;0,+I100-N100,0)</f>
        <v>0</v>
      </c>
      <c r="P100" s="159">
        <f t="shared" ref="P100:P131" si="14">+O100-M100</f>
        <v>0</v>
      </c>
      <c r="Q100" s="1"/>
      <c r="R100" s="1"/>
      <c r="S100" s="1"/>
      <c r="T100" s="1"/>
      <c r="U100" s="1"/>
    </row>
    <row r="101" spans="1:21">
      <c r="C101" s="155">
        <f>IF(D94="","-",+C100+1)</f>
        <v>2014</v>
      </c>
      <c r="D101" s="156"/>
      <c r="E101" s="162"/>
      <c r="F101" s="161"/>
      <c r="G101" s="161"/>
      <c r="H101" s="314"/>
      <c r="I101" s="323"/>
      <c r="J101" s="160"/>
      <c r="K101" s="160"/>
      <c r="L101" s="344"/>
      <c r="M101" s="345">
        <f t="shared" si="12"/>
        <v>0</v>
      </c>
      <c r="N101" s="344"/>
      <c r="O101" s="160">
        <f t="shared" si="13"/>
        <v>0</v>
      </c>
      <c r="P101" s="160">
        <f t="shared" si="14"/>
        <v>0</v>
      </c>
      <c r="Q101" s="1"/>
      <c r="R101" s="1"/>
      <c r="S101" s="1"/>
      <c r="T101" s="1"/>
      <c r="U101" s="1"/>
    </row>
    <row r="102" spans="1:21">
      <c r="B102" t="str">
        <f t="shared" ref="B102:B155" si="15">IF(D102=F101,"","IU")</f>
        <v>IU</v>
      </c>
      <c r="C102" s="155">
        <f>IF(D94="","-",+C101+1)</f>
        <v>2015</v>
      </c>
      <c r="D102" s="373">
        <v>7076304.3908220464</v>
      </c>
      <c r="E102" s="375">
        <v>150018.20833333334</v>
      </c>
      <c r="F102" s="377">
        <v>6926286.1824887134</v>
      </c>
      <c r="G102" s="377">
        <v>7001295.2866553795</v>
      </c>
      <c r="H102" s="375">
        <v>929468.41200641857</v>
      </c>
      <c r="I102" s="376">
        <v>929468.41200641857</v>
      </c>
      <c r="J102" s="160">
        <v>0</v>
      </c>
      <c r="K102" s="160"/>
      <c r="L102" s="344">
        <f>H102</f>
        <v>929468.41200641857</v>
      </c>
      <c r="M102" s="160">
        <f>IF(L102&lt;&gt;0,+H102-L102,0)</f>
        <v>0</v>
      </c>
      <c r="N102" s="344">
        <f>I102</f>
        <v>929468.41200641857</v>
      </c>
      <c r="O102" s="160">
        <f t="shared" si="13"/>
        <v>0</v>
      </c>
      <c r="P102" s="160">
        <f t="shared" si="14"/>
        <v>0</v>
      </c>
      <c r="Q102" s="1"/>
      <c r="R102" s="1"/>
      <c r="S102" s="1"/>
      <c r="T102" s="1"/>
      <c r="U102" s="1"/>
    </row>
    <row r="103" spans="1:21">
      <c r="B103" t="str">
        <f t="shared" si="15"/>
        <v>IU</v>
      </c>
      <c r="C103" s="155">
        <f>IF(D94="","-",+C102+1)</f>
        <v>2016</v>
      </c>
      <c r="D103" s="373">
        <v>7060290.791666667</v>
      </c>
      <c r="E103" s="375">
        <v>141378.60784313726</v>
      </c>
      <c r="F103" s="377">
        <v>6918912.1838235296</v>
      </c>
      <c r="G103" s="377">
        <v>6989601.4877450988</v>
      </c>
      <c r="H103" s="375">
        <v>898837.94259524392</v>
      </c>
      <c r="I103" s="376">
        <v>898837.94259524392</v>
      </c>
      <c r="J103" s="160">
        <f>+I103-H103</f>
        <v>0</v>
      </c>
      <c r="K103" s="160"/>
      <c r="L103" s="344">
        <f>H103</f>
        <v>898837.94259524392</v>
      </c>
      <c r="M103" s="160">
        <f>IF(L103&lt;&gt;0,+H103-L103,0)</f>
        <v>0</v>
      </c>
      <c r="N103" s="344">
        <f>I103</f>
        <v>898837.94259524392</v>
      </c>
      <c r="O103" s="160">
        <f>IF(N103&lt;&gt;0,+I103-N103,0)</f>
        <v>0</v>
      </c>
      <c r="P103" s="160">
        <f>+O103-M103</f>
        <v>0</v>
      </c>
      <c r="Q103" s="1"/>
      <c r="R103" s="1"/>
      <c r="S103" s="1"/>
      <c r="T103" s="1"/>
      <c r="U103" s="1"/>
    </row>
    <row r="104" spans="1:21">
      <c r="B104" t="str">
        <f t="shared" si="15"/>
        <v/>
      </c>
      <c r="C104" s="155">
        <f>IF(D94="","-",+C103+1)</f>
        <v>2017</v>
      </c>
      <c r="D104" s="373">
        <v>6918912.1838235296</v>
      </c>
      <c r="E104" s="375">
        <v>180257.72500000001</v>
      </c>
      <c r="F104" s="377">
        <v>6738654.45882353</v>
      </c>
      <c r="G104" s="377">
        <v>6828783.3213235298</v>
      </c>
      <c r="H104" s="375">
        <v>981518.91752081981</v>
      </c>
      <c r="I104" s="376">
        <v>981518.91752081981</v>
      </c>
      <c r="J104" s="160">
        <f t="shared" ref="J104:J155" si="16">+I104-H104</f>
        <v>0</v>
      </c>
      <c r="K104" s="160"/>
      <c r="L104" s="344">
        <f>H104</f>
        <v>981518.91752081981</v>
      </c>
      <c r="M104" s="160">
        <f>IF(L104&lt;&gt;0,+H104-L104,0)</f>
        <v>0</v>
      </c>
      <c r="N104" s="344">
        <f>I104</f>
        <v>981518.91752081981</v>
      </c>
      <c r="O104" s="160">
        <f>IF(N104&lt;&gt;0,+I104-N104,0)</f>
        <v>0</v>
      </c>
      <c r="P104" s="160">
        <f>+O104-M104</f>
        <v>0</v>
      </c>
      <c r="Q104" s="1"/>
      <c r="R104" s="1"/>
      <c r="S104" s="1"/>
      <c r="T104" s="1"/>
      <c r="U104" s="1"/>
    </row>
    <row r="105" spans="1:21">
      <c r="B105" t="str">
        <f t="shared" si="15"/>
        <v/>
      </c>
      <c r="C105" s="155">
        <f>IF(D94="","-",+C104+1)</f>
        <v>2018</v>
      </c>
      <c r="D105" s="156">
        <f>IF(F104+SUM(E$100:E104)=D$93,F104,D$93-SUM(E$100:E104))</f>
        <v>6738654.45882353</v>
      </c>
      <c r="E105" s="402">
        <f t="shared" ref="E105:E155" si="17">IF(+$J$97&lt;F104,$J$97,D105)</f>
        <v>200286.36111111112</v>
      </c>
      <c r="F105" s="161">
        <f t="shared" ref="F105:F155" si="18">+D105-E105</f>
        <v>6538368.097712419</v>
      </c>
      <c r="G105" s="161">
        <f t="shared" ref="G105:G155" si="19">+(F105+D105)/2</f>
        <v>6638511.278267974</v>
      </c>
      <c r="H105" s="403">
        <f t="shared" ref="H105:H155" si="20">+J$95*G105+E105</f>
        <v>901063.87001696113</v>
      </c>
      <c r="I105" s="404">
        <f t="shared" ref="I105:I155" si="21">+J$96*G105+E105</f>
        <v>901063.87001696113</v>
      </c>
      <c r="J105" s="160">
        <f t="shared" si="16"/>
        <v>0</v>
      </c>
      <c r="K105" s="160"/>
      <c r="L105" s="316"/>
      <c r="M105" s="160">
        <f t="shared" si="12"/>
        <v>0</v>
      </c>
      <c r="N105" s="316"/>
      <c r="O105" s="160">
        <f t="shared" si="13"/>
        <v>0</v>
      </c>
      <c r="P105" s="160">
        <f t="shared" si="14"/>
        <v>0</v>
      </c>
      <c r="Q105" s="1"/>
      <c r="R105" s="1"/>
      <c r="S105" s="1"/>
      <c r="T105" s="1"/>
      <c r="U105" s="1"/>
    </row>
    <row r="106" spans="1:21">
      <c r="B106" t="str">
        <f t="shared" si="15"/>
        <v/>
      </c>
      <c r="C106" s="155">
        <f>IF(D94="","-",+C105+1)</f>
        <v>2019</v>
      </c>
      <c r="D106" s="156">
        <f>IF(F105+SUM(E$100:E105)=D$93,F105,D$93-SUM(E$100:E105))</f>
        <v>6538368.097712419</v>
      </c>
      <c r="E106" s="402">
        <f t="shared" si="17"/>
        <v>200286.36111111112</v>
      </c>
      <c r="F106" s="161">
        <f t="shared" si="18"/>
        <v>6338081.736601308</v>
      </c>
      <c r="G106" s="161">
        <f t="shared" si="19"/>
        <v>6438224.917156864</v>
      </c>
      <c r="H106" s="403">
        <f t="shared" si="20"/>
        <v>879921.15121692908</v>
      </c>
      <c r="I106" s="404">
        <f t="shared" si="21"/>
        <v>879921.15121692908</v>
      </c>
      <c r="J106" s="160">
        <f t="shared" si="16"/>
        <v>0</v>
      </c>
      <c r="K106" s="160"/>
      <c r="L106" s="316"/>
      <c r="M106" s="160">
        <f t="shared" si="12"/>
        <v>0</v>
      </c>
      <c r="N106" s="316"/>
      <c r="O106" s="160">
        <f t="shared" si="13"/>
        <v>0</v>
      </c>
      <c r="P106" s="160">
        <f t="shared" si="14"/>
        <v>0</v>
      </c>
      <c r="Q106" s="1"/>
      <c r="R106" s="1"/>
      <c r="S106" s="1"/>
      <c r="T106" s="1"/>
      <c r="U106" s="1"/>
    </row>
    <row r="107" spans="1:21">
      <c r="B107" t="str">
        <f t="shared" si="15"/>
        <v/>
      </c>
      <c r="C107" s="155">
        <f>IF(D94="","-",+C106+1)</f>
        <v>2020</v>
      </c>
      <c r="D107" s="156">
        <f>IF(F106+SUM(E$100:E106)=D$93,F106,D$93-SUM(E$100:E106))</f>
        <v>6338081.736601308</v>
      </c>
      <c r="E107" s="402">
        <f t="shared" si="17"/>
        <v>200286.36111111112</v>
      </c>
      <c r="F107" s="161">
        <f t="shared" si="18"/>
        <v>6137795.375490197</v>
      </c>
      <c r="G107" s="161">
        <f t="shared" si="19"/>
        <v>6237938.556045752</v>
      </c>
      <c r="H107" s="403">
        <f t="shared" si="20"/>
        <v>858778.4324168968</v>
      </c>
      <c r="I107" s="404">
        <f t="shared" si="21"/>
        <v>858778.4324168968</v>
      </c>
      <c r="J107" s="160">
        <f t="shared" si="16"/>
        <v>0</v>
      </c>
      <c r="K107" s="160"/>
      <c r="L107" s="316"/>
      <c r="M107" s="160">
        <f t="shared" si="12"/>
        <v>0</v>
      </c>
      <c r="N107" s="316"/>
      <c r="O107" s="160">
        <f t="shared" si="13"/>
        <v>0</v>
      </c>
      <c r="P107" s="160">
        <f t="shared" si="14"/>
        <v>0</v>
      </c>
      <c r="Q107" s="1"/>
      <c r="R107" s="1"/>
      <c r="S107" s="1"/>
      <c r="T107" s="1"/>
      <c r="U107" s="1"/>
    </row>
    <row r="108" spans="1:21">
      <c r="B108" t="str">
        <f t="shared" si="15"/>
        <v/>
      </c>
      <c r="C108" s="155">
        <f>IF(D94="","-",+C107+1)</f>
        <v>2021</v>
      </c>
      <c r="D108" s="156">
        <f>IF(F107+SUM(E$100:E107)=D$93,F107,D$93-SUM(E$100:E107))</f>
        <v>6137795.375490197</v>
      </c>
      <c r="E108" s="402">
        <f t="shared" si="17"/>
        <v>200286.36111111112</v>
      </c>
      <c r="F108" s="161">
        <f t="shared" si="18"/>
        <v>5937509.014379086</v>
      </c>
      <c r="G108" s="161">
        <f t="shared" si="19"/>
        <v>6037652.1949346419</v>
      </c>
      <c r="H108" s="403">
        <f t="shared" si="20"/>
        <v>837635.71361686476</v>
      </c>
      <c r="I108" s="404">
        <f t="shared" si="21"/>
        <v>837635.71361686476</v>
      </c>
      <c r="J108" s="160">
        <f t="shared" si="16"/>
        <v>0</v>
      </c>
      <c r="K108" s="160"/>
      <c r="L108" s="316"/>
      <c r="M108" s="160">
        <f t="shared" si="12"/>
        <v>0</v>
      </c>
      <c r="N108" s="316"/>
      <c r="O108" s="160">
        <f t="shared" si="13"/>
        <v>0</v>
      </c>
      <c r="P108" s="160">
        <f t="shared" si="14"/>
        <v>0</v>
      </c>
      <c r="Q108" s="1"/>
      <c r="R108" s="1"/>
      <c r="S108" s="1"/>
      <c r="T108" s="1"/>
      <c r="U108" s="1"/>
    </row>
    <row r="109" spans="1:21">
      <c r="B109" t="str">
        <f t="shared" si="15"/>
        <v/>
      </c>
      <c r="C109" s="155">
        <f>IF(D94="","-",+C108+1)</f>
        <v>2022</v>
      </c>
      <c r="D109" s="156">
        <f>IF(F108+SUM(E$100:E108)=D$93,F108,D$93-SUM(E$100:E108))</f>
        <v>5937509.014379086</v>
      </c>
      <c r="E109" s="402">
        <f t="shared" si="17"/>
        <v>200286.36111111112</v>
      </c>
      <c r="F109" s="161">
        <f t="shared" si="18"/>
        <v>5737222.653267975</v>
      </c>
      <c r="G109" s="161">
        <f t="shared" si="19"/>
        <v>5837365.83382353</v>
      </c>
      <c r="H109" s="403">
        <f t="shared" si="20"/>
        <v>816492.99481683248</v>
      </c>
      <c r="I109" s="404">
        <f t="shared" si="21"/>
        <v>816492.99481683248</v>
      </c>
      <c r="J109" s="160">
        <f t="shared" si="16"/>
        <v>0</v>
      </c>
      <c r="K109" s="160"/>
      <c r="L109" s="316"/>
      <c r="M109" s="160">
        <f t="shared" si="12"/>
        <v>0</v>
      </c>
      <c r="N109" s="316"/>
      <c r="O109" s="160">
        <f t="shared" si="13"/>
        <v>0</v>
      </c>
      <c r="P109" s="160">
        <f t="shared" si="14"/>
        <v>0</v>
      </c>
      <c r="Q109" s="1"/>
      <c r="R109" s="1"/>
      <c r="S109" s="1"/>
      <c r="T109" s="1"/>
      <c r="U109" s="1"/>
    </row>
    <row r="110" spans="1:21">
      <c r="B110" t="str">
        <f t="shared" si="15"/>
        <v/>
      </c>
      <c r="C110" s="155">
        <f>IF(D94="","-",+C109+1)</f>
        <v>2023</v>
      </c>
      <c r="D110" s="156">
        <f>IF(F109+SUM(E$100:E109)=D$93,F109,D$93-SUM(E$100:E109))</f>
        <v>5737222.653267975</v>
      </c>
      <c r="E110" s="402">
        <f t="shared" si="17"/>
        <v>200286.36111111112</v>
      </c>
      <c r="F110" s="161">
        <f t="shared" si="18"/>
        <v>5536936.292156864</v>
      </c>
      <c r="G110" s="161">
        <f t="shared" si="19"/>
        <v>5637079.4727124199</v>
      </c>
      <c r="H110" s="403">
        <f t="shared" si="20"/>
        <v>795350.27601680043</v>
      </c>
      <c r="I110" s="404">
        <f t="shared" si="21"/>
        <v>795350.27601680043</v>
      </c>
      <c r="J110" s="160">
        <f t="shared" si="16"/>
        <v>0</v>
      </c>
      <c r="K110" s="160"/>
      <c r="L110" s="316"/>
      <c r="M110" s="160">
        <f t="shared" si="12"/>
        <v>0</v>
      </c>
      <c r="N110" s="316"/>
      <c r="O110" s="160">
        <f t="shared" si="13"/>
        <v>0</v>
      </c>
      <c r="P110" s="160">
        <f t="shared" si="14"/>
        <v>0</v>
      </c>
      <c r="Q110" s="1"/>
      <c r="R110" s="1"/>
      <c r="S110" s="1"/>
      <c r="T110" s="1"/>
      <c r="U110" s="1"/>
    </row>
    <row r="111" spans="1:21">
      <c r="B111" t="str">
        <f t="shared" si="15"/>
        <v/>
      </c>
      <c r="C111" s="155">
        <f>IF(D94="","-",+C110+1)</f>
        <v>2024</v>
      </c>
      <c r="D111" s="156">
        <f>IF(F110+SUM(E$100:E110)=D$93,F110,D$93-SUM(E$100:E110))</f>
        <v>5536936.292156864</v>
      </c>
      <c r="E111" s="402">
        <f t="shared" si="17"/>
        <v>200286.36111111112</v>
      </c>
      <c r="F111" s="161">
        <f t="shared" si="18"/>
        <v>5336649.931045753</v>
      </c>
      <c r="G111" s="161">
        <f t="shared" si="19"/>
        <v>5436793.111601308</v>
      </c>
      <c r="H111" s="403">
        <f t="shared" si="20"/>
        <v>774207.55721676815</v>
      </c>
      <c r="I111" s="404">
        <f t="shared" si="21"/>
        <v>774207.55721676815</v>
      </c>
      <c r="J111" s="160">
        <f t="shared" si="16"/>
        <v>0</v>
      </c>
      <c r="K111" s="160"/>
      <c r="L111" s="316"/>
      <c r="M111" s="160">
        <f t="shared" si="12"/>
        <v>0</v>
      </c>
      <c r="N111" s="316"/>
      <c r="O111" s="160">
        <f t="shared" si="13"/>
        <v>0</v>
      </c>
      <c r="P111" s="160">
        <f t="shared" si="14"/>
        <v>0</v>
      </c>
      <c r="Q111" s="1"/>
      <c r="R111" s="1"/>
      <c r="S111" s="1"/>
      <c r="T111" s="1"/>
      <c r="U111" s="1"/>
    </row>
    <row r="112" spans="1:21">
      <c r="B112" t="str">
        <f t="shared" si="15"/>
        <v/>
      </c>
      <c r="C112" s="155">
        <f>IF(D94="","-",+C111+1)</f>
        <v>2025</v>
      </c>
      <c r="D112" s="156">
        <f>IF(F111+SUM(E$100:E111)=D$93,F111,D$93-SUM(E$100:E111))</f>
        <v>5336649.931045753</v>
      </c>
      <c r="E112" s="402">
        <f t="shared" si="17"/>
        <v>200286.36111111112</v>
      </c>
      <c r="F112" s="161">
        <f t="shared" si="18"/>
        <v>5136363.5699346419</v>
      </c>
      <c r="G112" s="161">
        <f t="shared" si="19"/>
        <v>5236506.7504901979</v>
      </c>
      <c r="H112" s="403">
        <f t="shared" si="20"/>
        <v>753064.83841673599</v>
      </c>
      <c r="I112" s="404">
        <f t="shared" si="21"/>
        <v>753064.83841673599</v>
      </c>
      <c r="J112" s="160">
        <f t="shared" si="16"/>
        <v>0</v>
      </c>
      <c r="K112" s="160"/>
      <c r="L112" s="316"/>
      <c r="M112" s="160">
        <f t="shared" si="12"/>
        <v>0</v>
      </c>
      <c r="N112" s="316"/>
      <c r="O112" s="160">
        <f t="shared" si="13"/>
        <v>0</v>
      </c>
      <c r="P112" s="160">
        <f t="shared" si="14"/>
        <v>0</v>
      </c>
      <c r="Q112" s="1"/>
      <c r="R112" s="1"/>
      <c r="S112" s="1"/>
      <c r="T112" s="1"/>
      <c r="U112" s="1"/>
    </row>
    <row r="113" spans="2:21">
      <c r="B113" t="str">
        <f t="shared" si="15"/>
        <v/>
      </c>
      <c r="C113" s="155">
        <f>IF(D94="","-",+C112+1)</f>
        <v>2026</v>
      </c>
      <c r="D113" s="156">
        <f>IF(F112+SUM(E$100:E112)=D$93,F112,D$93-SUM(E$100:E112))</f>
        <v>5136363.5699346419</v>
      </c>
      <c r="E113" s="402">
        <f t="shared" si="17"/>
        <v>200286.36111111112</v>
      </c>
      <c r="F113" s="161">
        <f t="shared" si="18"/>
        <v>4936077.2088235309</v>
      </c>
      <c r="G113" s="161">
        <f t="shared" si="19"/>
        <v>5036220.389379086</v>
      </c>
      <c r="H113" s="403">
        <f t="shared" si="20"/>
        <v>731922.11961670383</v>
      </c>
      <c r="I113" s="404">
        <f t="shared" si="21"/>
        <v>731922.11961670383</v>
      </c>
      <c r="J113" s="160">
        <f t="shared" si="16"/>
        <v>0</v>
      </c>
      <c r="K113" s="160"/>
      <c r="L113" s="316"/>
      <c r="M113" s="160">
        <f t="shared" si="12"/>
        <v>0</v>
      </c>
      <c r="N113" s="316"/>
      <c r="O113" s="160">
        <f t="shared" si="13"/>
        <v>0</v>
      </c>
      <c r="P113" s="160">
        <f t="shared" si="14"/>
        <v>0</v>
      </c>
      <c r="Q113" s="1"/>
      <c r="R113" s="1"/>
      <c r="S113" s="1"/>
      <c r="T113" s="1"/>
      <c r="U113" s="1"/>
    </row>
    <row r="114" spans="2:21">
      <c r="B114" t="str">
        <f t="shared" si="15"/>
        <v/>
      </c>
      <c r="C114" s="155">
        <f>IF(D94="","-",+C113+1)</f>
        <v>2027</v>
      </c>
      <c r="D114" s="156">
        <f>IF(F113+SUM(E$100:E113)=D$93,F113,D$93-SUM(E$100:E113))</f>
        <v>4936077.2088235309</v>
      </c>
      <c r="E114" s="402">
        <f t="shared" si="17"/>
        <v>200286.36111111112</v>
      </c>
      <c r="F114" s="161">
        <f t="shared" si="18"/>
        <v>4735790.8477124199</v>
      </c>
      <c r="G114" s="161">
        <f t="shared" si="19"/>
        <v>4835934.0282679759</v>
      </c>
      <c r="H114" s="403">
        <f t="shared" si="20"/>
        <v>710779.40081667178</v>
      </c>
      <c r="I114" s="404">
        <f t="shared" si="21"/>
        <v>710779.40081667178</v>
      </c>
      <c r="J114" s="160">
        <f t="shared" si="16"/>
        <v>0</v>
      </c>
      <c r="K114" s="160"/>
      <c r="L114" s="316"/>
      <c r="M114" s="160">
        <f t="shared" si="12"/>
        <v>0</v>
      </c>
      <c r="N114" s="316"/>
      <c r="O114" s="160">
        <f t="shared" si="13"/>
        <v>0</v>
      </c>
      <c r="P114" s="160">
        <f t="shared" si="14"/>
        <v>0</v>
      </c>
      <c r="Q114" s="1"/>
      <c r="R114" s="1"/>
      <c r="S114" s="1"/>
      <c r="T114" s="1"/>
      <c r="U114" s="1"/>
    </row>
    <row r="115" spans="2:21">
      <c r="B115" t="str">
        <f t="shared" si="15"/>
        <v/>
      </c>
      <c r="C115" s="155">
        <f>IF(D94="","-",+C114+1)</f>
        <v>2028</v>
      </c>
      <c r="D115" s="156">
        <f>IF(F114+SUM(E$100:E114)=D$93,F114,D$93-SUM(E$100:E114))</f>
        <v>4735790.8477124199</v>
      </c>
      <c r="E115" s="402">
        <f t="shared" si="17"/>
        <v>200286.36111111112</v>
      </c>
      <c r="F115" s="161">
        <f t="shared" si="18"/>
        <v>4535504.4866013089</v>
      </c>
      <c r="G115" s="161">
        <f t="shared" si="19"/>
        <v>4635647.667156864</v>
      </c>
      <c r="H115" s="403">
        <f t="shared" si="20"/>
        <v>689636.6820166395</v>
      </c>
      <c r="I115" s="404">
        <f t="shared" si="21"/>
        <v>689636.6820166395</v>
      </c>
      <c r="J115" s="160">
        <f t="shared" si="16"/>
        <v>0</v>
      </c>
      <c r="K115" s="160"/>
      <c r="L115" s="316"/>
      <c r="M115" s="160">
        <f t="shared" si="12"/>
        <v>0</v>
      </c>
      <c r="N115" s="316"/>
      <c r="O115" s="160">
        <f t="shared" si="13"/>
        <v>0</v>
      </c>
      <c r="P115" s="160">
        <f t="shared" si="14"/>
        <v>0</v>
      </c>
      <c r="Q115" s="1"/>
      <c r="R115" s="1"/>
      <c r="S115" s="1"/>
      <c r="T115" s="1"/>
      <c r="U115" s="1"/>
    </row>
    <row r="116" spans="2:21">
      <c r="B116" t="str">
        <f t="shared" si="15"/>
        <v/>
      </c>
      <c r="C116" s="155">
        <f>IF(D94="","-",+C115+1)</f>
        <v>2029</v>
      </c>
      <c r="D116" s="156">
        <f>IF(F115+SUM(E$100:E115)=D$93,F115,D$93-SUM(E$100:E115))</f>
        <v>4535504.4866013089</v>
      </c>
      <c r="E116" s="402">
        <f t="shared" si="17"/>
        <v>200286.36111111112</v>
      </c>
      <c r="F116" s="161">
        <f t="shared" si="18"/>
        <v>4335218.1254901979</v>
      </c>
      <c r="G116" s="161">
        <f t="shared" si="19"/>
        <v>4435361.3060457539</v>
      </c>
      <c r="H116" s="403">
        <f t="shared" si="20"/>
        <v>668493.96321660734</v>
      </c>
      <c r="I116" s="404">
        <f t="shared" si="21"/>
        <v>668493.96321660734</v>
      </c>
      <c r="J116" s="160">
        <f t="shared" si="16"/>
        <v>0</v>
      </c>
      <c r="K116" s="160"/>
      <c r="L116" s="316"/>
      <c r="M116" s="160">
        <f t="shared" si="12"/>
        <v>0</v>
      </c>
      <c r="N116" s="316"/>
      <c r="O116" s="160">
        <f t="shared" si="13"/>
        <v>0</v>
      </c>
      <c r="P116" s="160">
        <f t="shared" si="14"/>
        <v>0</v>
      </c>
      <c r="Q116" s="1"/>
      <c r="R116" s="1"/>
      <c r="S116" s="1"/>
      <c r="T116" s="1"/>
      <c r="U116" s="1"/>
    </row>
    <row r="117" spans="2:21">
      <c r="B117" t="str">
        <f t="shared" si="15"/>
        <v/>
      </c>
      <c r="C117" s="155">
        <f>IF(D94="","-",+C116+1)</f>
        <v>2030</v>
      </c>
      <c r="D117" s="156">
        <f>IF(F116+SUM(E$100:E116)=D$93,F116,D$93-SUM(E$100:E116))</f>
        <v>4335218.1254901979</v>
      </c>
      <c r="E117" s="402">
        <f t="shared" si="17"/>
        <v>200286.36111111112</v>
      </c>
      <c r="F117" s="161">
        <f t="shared" si="18"/>
        <v>4134931.7643790869</v>
      </c>
      <c r="G117" s="161">
        <f t="shared" si="19"/>
        <v>4235074.9449346419</v>
      </c>
      <c r="H117" s="403">
        <f t="shared" si="20"/>
        <v>647351.24441657518</v>
      </c>
      <c r="I117" s="404">
        <f t="shared" si="21"/>
        <v>647351.24441657518</v>
      </c>
      <c r="J117" s="160">
        <f t="shared" si="16"/>
        <v>0</v>
      </c>
      <c r="K117" s="160"/>
      <c r="L117" s="316"/>
      <c r="M117" s="160">
        <f t="shared" si="12"/>
        <v>0</v>
      </c>
      <c r="N117" s="316"/>
      <c r="O117" s="160">
        <f t="shared" si="13"/>
        <v>0</v>
      </c>
      <c r="P117" s="160">
        <f t="shared" si="14"/>
        <v>0</v>
      </c>
      <c r="Q117" s="1"/>
      <c r="R117" s="1"/>
      <c r="S117" s="1"/>
      <c r="T117" s="1"/>
      <c r="U117" s="1"/>
    </row>
    <row r="118" spans="2:21">
      <c r="B118" t="str">
        <f t="shared" si="15"/>
        <v/>
      </c>
      <c r="C118" s="155">
        <f>IF(D94="","-",+C117+1)</f>
        <v>2031</v>
      </c>
      <c r="D118" s="156">
        <f>IF(F117+SUM(E$100:E117)=D$93,F117,D$93-SUM(E$100:E117))</f>
        <v>4134931.7643790869</v>
      </c>
      <c r="E118" s="402">
        <f t="shared" si="17"/>
        <v>200286.36111111112</v>
      </c>
      <c r="F118" s="161">
        <f t="shared" si="18"/>
        <v>3934645.4032679759</v>
      </c>
      <c r="G118" s="161">
        <f t="shared" si="19"/>
        <v>4034788.5838235314</v>
      </c>
      <c r="H118" s="403">
        <f t="shared" si="20"/>
        <v>626208.5256165429</v>
      </c>
      <c r="I118" s="404">
        <f t="shared" si="21"/>
        <v>626208.5256165429</v>
      </c>
      <c r="J118" s="160">
        <f t="shared" si="16"/>
        <v>0</v>
      </c>
      <c r="K118" s="160"/>
      <c r="L118" s="316"/>
      <c r="M118" s="160">
        <f t="shared" si="12"/>
        <v>0</v>
      </c>
      <c r="N118" s="316"/>
      <c r="O118" s="160">
        <f t="shared" si="13"/>
        <v>0</v>
      </c>
      <c r="P118" s="160">
        <f t="shared" si="14"/>
        <v>0</v>
      </c>
      <c r="Q118" s="1"/>
      <c r="R118" s="1"/>
      <c r="S118" s="1"/>
      <c r="T118" s="1"/>
      <c r="U118" s="1"/>
    </row>
    <row r="119" spans="2:21">
      <c r="B119" t="str">
        <f t="shared" si="15"/>
        <v/>
      </c>
      <c r="C119" s="155">
        <f>IF(D94="","-",+C118+1)</f>
        <v>2032</v>
      </c>
      <c r="D119" s="156">
        <f>IF(F118+SUM(E$100:E118)=D$93,F118,D$93-SUM(E$100:E118))</f>
        <v>3934645.4032679759</v>
      </c>
      <c r="E119" s="402">
        <f t="shared" si="17"/>
        <v>200286.36111111112</v>
      </c>
      <c r="F119" s="161">
        <f t="shared" si="18"/>
        <v>3734359.0421568649</v>
      </c>
      <c r="G119" s="161">
        <f t="shared" si="19"/>
        <v>3834502.2227124204</v>
      </c>
      <c r="H119" s="403">
        <f t="shared" si="20"/>
        <v>605065.80681651086</v>
      </c>
      <c r="I119" s="404">
        <f t="shared" si="21"/>
        <v>605065.80681651086</v>
      </c>
      <c r="J119" s="160">
        <f t="shared" si="16"/>
        <v>0</v>
      </c>
      <c r="K119" s="160"/>
      <c r="L119" s="316"/>
      <c r="M119" s="160">
        <f t="shared" si="12"/>
        <v>0</v>
      </c>
      <c r="N119" s="316"/>
      <c r="O119" s="160">
        <f t="shared" si="13"/>
        <v>0</v>
      </c>
      <c r="P119" s="160">
        <f t="shared" si="14"/>
        <v>0</v>
      </c>
      <c r="Q119" s="1"/>
      <c r="R119" s="1"/>
      <c r="S119" s="1"/>
      <c r="T119" s="1"/>
      <c r="U119" s="1"/>
    </row>
    <row r="120" spans="2:21">
      <c r="B120" t="str">
        <f t="shared" si="15"/>
        <v/>
      </c>
      <c r="C120" s="155">
        <f>IF(D94="","-",+C119+1)</f>
        <v>2033</v>
      </c>
      <c r="D120" s="156">
        <f>IF(F119+SUM(E$100:E119)=D$93,F119,D$93-SUM(E$100:E119))</f>
        <v>3734359.0421568649</v>
      </c>
      <c r="E120" s="402">
        <f t="shared" si="17"/>
        <v>200286.36111111112</v>
      </c>
      <c r="F120" s="161">
        <f t="shared" si="18"/>
        <v>3534072.6810457539</v>
      </c>
      <c r="G120" s="161">
        <f t="shared" si="19"/>
        <v>3634215.8616013094</v>
      </c>
      <c r="H120" s="403">
        <f t="shared" si="20"/>
        <v>583923.08801647858</v>
      </c>
      <c r="I120" s="404">
        <f t="shared" si="21"/>
        <v>583923.08801647858</v>
      </c>
      <c r="J120" s="160">
        <f t="shared" si="16"/>
        <v>0</v>
      </c>
      <c r="K120" s="160"/>
      <c r="L120" s="316"/>
      <c r="M120" s="160">
        <f t="shared" si="12"/>
        <v>0</v>
      </c>
      <c r="N120" s="316"/>
      <c r="O120" s="160">
        <f t="shared" si="13"/>
        <v>0</v>
      </c>
      <c r="P120" s="160">
        <f t="shared" si="14"/>
        <v>0</v>
      </c>
      <c r="Q120" s="1"/>
      <c r="R120" s="1"/>
      <c r="S120" s="1"/>
      <c r="T120" s="1"/>
      <c r="U120" s="1"/>
    </row>
    <row r="121" spans="2:21">
      <c r="B121" t="str">
        <f t="shared" si="15"/>
        <v/>
      </c>
      <c r="C121" s="155">
        <f>IF(D94="","-",+C120+1)</f>
        <v>2034</v>
      </c>
      <c r="D121" s="156">
        <f>IF(F120+SUM(E$100:E120)=D$93,F120,D$93-SUM(E$100:E120))</f>
        <v>3534072.6810457539</v>
      </c>
      <c r="E121" s="402">
        <f t="shared" si="17"/>
        <v>200286.36111111112</v>
      </c>
      <c r="F121" s="161">
        <f t="shared" si="18"/>
        <v>3333786.3199346429</v>
      </c>
      <c r="G121" s="161">
        <f t="shared" si="19"/>
        <v>3433929.5004901984</v>
      </c>
      <c r="H121" s="403">
        <f t="shared" si="20"/>
        <v>562780.36921644653</v>
      </c>
      <c r="I121" s="404">
        <f t="shared" si="21"/>
        <v>562780.36921644653</v>
      </c>
      <c r="J121" s="160">
        <f t="shared" si="16"/>
        <v>0</v>
      </c>
      <c r="K121" s="160"/>
      <c r="L121" s="316"/>
      <c r="M121" s="160">
        <f t="shared" si="12"/>
        <v>0</v>
      </c>
      <c r="N121" s="316"/>
      <c r="O121" s="160">
        <f t="shared" si="13"/>
        <v>0</v>
      </c>
      <c r="P121" s="160">
        <f t="shared" si="14"/>
        <v>0</v>
      </c>
      <c r="Q121" s="1"/>
      <c r="R121" s="1"/>
      <c r="S121" s="1"/>
      <c r="T121" s="1"/>
      <c r="U121" s="1"/>
    </row>
    <row r="122" spans="2:21">
      <c r="B122" t="str">
        <f t="shared" si="15"/>
        <v/>
      </c>
      <c r="C122" s="155">
        <f>IF(D94="","-",+C121+1)</f>
        <v>2035</v>
      </c>
      <c r="D122" s="156">
        <f>IF(F121+SUM(E$100:E121)=D$93,F121,D$93-SUM(E$100:E121))</f>
        <v>3333786.3199346429</v>
      </c>
      <c r="E122" s="402">
        <f t="shared" si="17"/>
        <v>200286.36111111112</v>
      </c>
      <c r="F122" s="161">
        <f t="shared" si="18"/>
        <v>3133499.9588235319</v>
      </c>
      <c r="G122" s="161">
        <f t="shared" si="19"/>
        <v>3233643.1393790874</v>
      </c>
      <c r="H122" s="403">
        <f t="shared" si="20"/>
        <v>541637.65041641425</v>
      </c>
      <c r="I122" s="404">
        <f t="shared" si="21"/>
        <v>541637.65041641425</v>
      </c>
      <c r="J122" s="160">
        <f t="shared" si="16"/>
        <v>0</v>
      </c>
      <c r="K122" s="160"/>
      <c r="L122" s="316"/>
      <c r="M122" s="160">
        <f t="shared" si="12"/>
        <v>0</v>
      </c>
      <c r="N122" s="316"/>
      <c r="O122" s="160">
        <f t="shared" si="13"/>
        <v>0</v>
      </c>
      <c r="P122" s="160">
        <f t="shared" si="14"/>
        <v>0</v>
      </c>
      <c r="Q122" s="1"/>
      <c r="R122" s="1"/>
      <c r="S122" s="1"/>
      <c r="T122" s="1"/>
      <c r="U122" s="1"/>
    </row>
    <row r="123" spans="2:21">
      <c r="B123" t="str">
        <f t="shared" si="15"/>
        <v/>
      </c>
      <c r="C123" s="155">
        <f>IF(D94="","-",+C122+1)</f>
        <v>2036</v>
      </c>
      <c r="D123" s="156">
        <f>IF(F122+SUM(E$100:E122)=D$93,F122,D$93-SUM(E$100:E122))</f>
        <v>3133499.9588235319</v>
      </c>
      <c r="E123" s="402">
        <f t="shared" si="17"/>
        <v>200286.36111111112</v>
      </c>
      <c r="F123" s="161">
        <f t="shared" si="18"/>
        <v>2933213.5977124209</v>
      </c>
      <c r="G123" s="161">
        <f t="shared" si="19"/>
        <v>3033356.7782679764</v>
      </c>
      <c r="H123" s="403">
        <f t="shared" si="20"/>
        <v>520494.93161638215</v>
      </c>
      <c r="I123" s="404">
        <f t="shared" si="21"/>
        <v>520494.93161638215</v>
      </c>
      <c r="J123" s="160">
        <f t="shared" si="16"/>
        <v>0</v>
      </c>
      <c r="K123" s="160"/>
      <c r="L123" s="316"/>
      <c r="M123" s="160">
        <f t="shared" si="12"/>
        <v>0</v>
      </c>
      <c r="N123" s="316"/>
      <c r="O123" s="160">
        <f t="shared" si="13"/>
        <v>0</v>
      </c>
      <c r="P123" s="160">
        <f t="shared" si="14"/>
        <v>0</v>
      </c>
      <c r="Q123" s="1"/>
      <c r="R123" s="1"/>
      <c r="S123" s="1"/>
      <c r="T123" s="1"/>
      <c r="U123" s="1"/>
    </row>
    <row r="124" spans="2:21">
      <c r="B124" t="str">
        <f t="shared" si="15"/>
        <v/>
      </c>
      <c r="C124" s="155">
        <f>IF(D94="","-",+C123+1)</f>
        <v>2037</v>
      </c>
      <c r="D124" s="156">
        <f>IF(F123+SUM(E$100:E123)=D$93,F123,D$93-SUM(E$100:E123))</f>
        <v>2933213.5977124209</v>
      </c>
      <c r="E124" s="402">
        <f t="shared" si="17"/>
        <v>200286.36111111112</v>
      </c>
      <c r="F124" s="161">
        <f t="shared" si="18"/>
        <v>2732927.2366013099</v>
      </c>
      <c r="G124" s="161">
        <f t="shared" si="19"/>
        <v>2833070.4171568654</v>
      </c>
      <c r="H124" s="403">
        <f t="shared" si="20"/>
        <v>499352.21281634999</v>
      </c>
      <c r="I124" s="404">
        <f t="shared" si="21"/>
        <v>499352.21281634999</v>
      </c>
      <c r="J124" s="160">
        <f t="shared" si="16"/>
        <v>0</v>
      </c>
      <c r="K124" s="160"/>
      <c r="L124" s="316"/>
      <c r="M124" s="160">
        <f t="shared" si="12"/>
        <v>0</v>
      </c>
      <c r="N124" s="316"/>
      <c r="O124" s="160">
        <f t="shared" si="13"/>
        <v>0</v>
      </c>
      <c r="P124" s="160">
        <f t="shared" si="14"/>
        <v>0</v>
      </c>
      <c r="Q124" s="1"/>
      <c r="R124" s="1"/>
      <c r="S124" s="1"/>
      <c r="T124" s="1"/>
      <c r="U124" s="1"/>
    </row>
    <row r="125" spans="2:21">
      <c r="B125" t="str">
        <f t="shared" si="15"/>
        <v/>
      </c>
      <c r="C125" s="155">
        <f>IF(D94="","-",+C124+1)</f>
        <v>2038</v>
      </c>
      <c r="D125" s="156">
        <f>IF(F124+SUM(E$100:E124)=D$93,F124,D$93-SUM(E$100:E124))</f>
        <v>2732927.2366013099</v>
      </c>
      <c r="E125" s="402">
        <f t="shared" si="17"/>
        <v>200286.36111111112</v>
      </c>
      <c r="F125" s="161">
        <f t="shared" si="18"/>
        <v>2532640.8754901988</v>
      </c>
      <c r="G125" s="161">
        <f t="shared" si="19"/>
        <v>2632784.0560457543</v>
      </c>
      <c r="H125" s="403">
        <f t="shared" si="20"/>
        <v>478209.49401631777</v>
      </c>
      <c r="I125" s="404">
        <f t="shared" si="21"/>
        <v>478209.49401631777</v>
      </c>
      <c r="J125" s="160">
        <f t="shared" si="16"/>
        <v>0</v>
      </c>
      <c r="K125" s="160"/>
      <c r="L125" s="316"/>
      <c r="M125" s="160">
        <f t="shared" si="12"/>
        <v>0</v>
      </c>
      <c r="N125" s="316"/>
      <c r="O125" s="160">
        <f t="shared" si="13"/>
        <v>0</v>
      </c>
      <c r="P125" s="160">
        <f t="shared" si="14"/>
        <v>0</v>
      </c>
      <c r="Q125" s="1"/>
      <c r="R125" s="1"/>
      <c r="S125" s="1"/>
      <c r="T125" s="1"/>
      <c r="U125" s="1"/>
    </row>
    <row r="126" spans="2:21">
      <c r="B126" t="str">
        <f t="shared" si="15"/>
        <v/>
      </c>
      <c r="C126" s="155">
        <f>IF(D94="","-",+C125+1)</f>
        <v>2039</v>
      </c>
      <c r="D126" s="156">
        <f>IF(F125+SUM(E$100:E125)=D$93,F125,D$93-SUM(E$100:E125))</f>
        <v>2532640.8754901988</v>
      </c>
      <c r="E126" s="402">
        <f t="shared" si="17"/>
        <v>200286.36111111112</v>
      </c>
      <c r="F126" s="161">
        <f t="shared" si="18"/>
        <v>2332354.5143790878</v>
      </c>
      <c r="G126" s="161">
        <f t="shared" si="19"/>
        <v>2432497.6949346433</v>
      </c>
      <c r="H126" s="403">
        <f t="shared" si="20"/>
        <v>457066.7752162856</v>
      </c>
      <c r="I126" s="404">
        <f t="shared" si="21"/>
        <v>457066.7752162856</v>
      </c>
      <c r="J126" s="160">
        <f t="shared" si="16"/>
        <v>0</v>
      </c>
      <c r="K126" s="160"/>
      <c r="L126" s="316"/>
      <c r="M126" s="160">
        <f t="shared" si="12"/>
        <v>0</v>
      </c>
      <c r="N126" s="316"/>
      <c r="O126" s="160">
        <f t="shared" si="13"/>
        <v>0</v>
      </c>
      <c r="P126" s="160">
        <f t="shared" si="14"/>
        <v>0</v>
      </c>
      <c r="Q126" s="1"/>
      <c r="R126" s="1"/>
      <c r="S126" s="1"/>
      <c r="T126" s="1"/>
      <c r="U126" s="1"/>
    </row>
    <row r="127" spans="2:21">
      <c r="B127" t="str">
        <f t="shared" si="15"/>
        <v/>
      </c>
      <c r="C127" s="155">
        <f>IF(D94="","-",+C126+1)</f>
        <v>2040</v>
      </c>
      <c r="D127" s="156">
        <f>IF(F126+SUM(E$100:E126)=D$93,F126,D$93-SUM(E$100:E126))</f>
        <v>2332354.5143790878</v>
      </c>
      <c r="E127" s="402">
        <f t="shared" si="17"/>
        <v>200286.36111111112</v>
      </c>
      <c r="F127" s="161">
        <f t="shared" si="18"/>
        <v>2132068.1532679768</v>
      </c>
      <c r="G127" s="161">
        <f t="shared" si="19"/>
        <v>2232211.3338235323</v>
      </c>
      <c r="H127" s="403">
        <f t="shared" si="20"/>
        <v>435924.05641625344</v>
      </c>
      <c r="I127" s="404">
        <f t="shared" si="21"/>
        <v>435924.05641625344</v>
      </c>
      <c r="J127" s="160">
        <f t="shared" si="16"/>
        <v>0</v>
      </c>
      <c r="K127" s="160"/>
      <c r="L127" s="316"/>
      <c r="M127" s="160">
        <f t="shared" si="12"/>
        <v>0</v>
      </c>
      <c r="N127" s="316"/>
      <c r="O127" s="160">
        <f t="shared" si="13"/>
        <v>0</v>
      </c>
      <c r="P127" s="160">
        <f t="shared" si="14"/>
        <v>0</v>
      </c>
      <c r="Q127" s="1"/>
      <c r="R127" s="1"/>
      <c r="S127" s="1"/>
      <c r="T127" s="1"/>
      <c r="U127" s="1"/>
    </row>
    <row r="128" spans="2:21">
      <c r="B128" t="str">
        <f t="shared" si="15"/>
        <v/>
      </c>
      <c r="C128" s="155">
        <f>IF(D94="","-",+C127+1)</f>
        <v>2041</v>
      </c>
      <c r="D128" s="156">
        <f>IF(F127+SUM(E$100:E127)=D$93,F127,D$93-SUM(E$100:E127))</f>
        <v>2132068.1532679768</v>
      </c>
      <c r="E128" s="402">
        <f t="shared" si="17"/>
        <v>200286.36111111112</v>
      </c>
      <c r="F128" s="161">
        <f t="shared" si="18"/>
        <v>1931781.7921568658</v>
      </c>
      <c r="G128" s="161">
        <f t="shared" si="19"/>
        <v>2031924.9727124213</v>
      </c>
      <c r="H128" s="403">
        <f t="shared" si="20"/>
        <v>414781.33761622128</v>
      </c>
      <c r="I128" s="404">
        <f t="shared" si="21"/>
        <v>414781.33761622128</v>
      </c>
      <c r="J128" s="160">
        <f t="shared" si="16"/>
        <v>0</v>
      </c>
      <c r="K128" s="160"/>
      <c r="L128" s="316"/>
      <c r="M128" s="160">
        <f t="shared" si="12"/>
        <v>0</v>
      </c>
      <c r="N128" s="316"/>
      <c r="O128" s="160">
        <f t="shared" si="13"/>
        <v>0</v>
      </c>
      <c r="P128" s="160">
        <f t="shared" si="14"/>
        <v>0</v>
      </c>
      <c r="Q128" s="1"/>
      <c r="R128" s="1"/>
      <c r="S128" s="1"/>
      <c r="T128" s="1"/>
      <c r="U128" s="1"/>
    </row>
    <row r="129" spans="2:21">
      <c r="B129" t="str">
        <f t="shared" si="15"/>
        <v/>
      </c>
      <c r="C129" s="155">
        <f>IF(D94="","-",+C128+1)</f>
        <v>2042</v>
      </c>
      <c r="D129" s="156">
        <f>IF(F128+SUM(E$100:E128)=D$93,F128,D$93-SUM(E$100:E128))</f>
        <v>1931781.7921568658</v>
      </c>
      <c r="E129" s="402">
        <f t="shared" si="17"/>
        <v>200286.36111111112</v>
      </c>
      <c r="F129" s="161">
        <f t="shared" si="18"/>
        <v>1731495.4310457548</v>
      </c>
      <c r="G129" s="161">
        <f t="shared" si="19"/>
        <v>1831638.6116013103</v>
      </c>
      <c r="H129" s="403">
        <f t="shared" si="20"/>
        <v>393638.61881618912</v>
      </c>
      <c r="I129" s="404">
        <f t="shared" si="21"/>
        <v>393638.61881618912</v>
      </c>
      <c r="J129" s="160">
        <f t="shared" si="16"/>
        <v>0</v>
      </c>
      <c r="K129" s="160"/>
      <c r="L129" s="316"/>
      <c r="M129" s="160">
        <f t="shared" si="12"/>
        <v>0</v>
      </c>
      <c r="N129" s="316"/>
      <c r="O129" s="160">
        <f t="shared" si="13"/>
        <v>0</v>
      </c>
      <c r="P129" s="160">
        <f t="shared" si="14"/>
        <v>0</v>
      </c>
      <c r="Q129" s="1"/>
      <c r="R129" s="1"/>
      <c r="S129" s="1"/>
      <c r="T129" s="1"/>
      <c r="U129" s="1"/>
    </row>
    <row r="130" spans="2:21">
      <c r="B130" t="str">
        <f t="shared" si="15"/>
        <v/>
      </c>
      <c r="C130" s="155">
        <f>IF(D94="","-",+C129+1)</f>
        <v>2043</v>
      </c>
      <c r="D130" s="156">
        <f>IF(F129+SUM(E$100:E129)=D$93,F129,D$93-SUM(E$100:E129))</f>
        <v>1731495.4310457548</v>
      </c>
      <c r="E130" s="402">
        <f t="shared" si="17"/>
        <v>200286.36111111112</v>
      </c>
      <c r="F130" s="161">
        <f t="shared" si="18"/>
        <v>1531209.0699346438</v>
      </c>
      <c r="G130" s="161">
        <f t="shared" si="19"/>
        <v>1631352.2504901993</v>
      </c>
      <c r="H130" s="403">
        <f t="shared" si="20"/>
        <v>372495.90001615696</v>
      </c>
      <c r="I130" s="404">
        <f t="shared" si="21"/>
        <v>372495.90001615696</v>
      </c>
      <c r="J130" s="160">
        <f t="shared" si="16"/>
        <v>0</v>
      </c>
      <c r="K130" s="160"/>
      <c r="L130" s="316"/>
      <c r="M130" s="160">
        <f t="shared" si="12"/>
        <v>0</v>
      </c>
      <c r="N130" s="316"/>
      <c r="O130" s="160">
        <f t="shared" si="13"/>
        <v>0</v>
      </c>
      <c r="P130" s="160">
        <f t="shared" si="14"/>
        <v>0</v>
      </c>
      <c r="Q130" s="1"/>
      <c r="R130" s="1"/>
      <c r="S130" s="1"/>
      <c r="T130" s="1"/>
      <c r="U130" s="1"/>
    </row>
    <row r="131" spans="2:21">
      <c r="B131" t="str">
        <f t="shared" si="15"/>
        <v/>
      </c>
      <c r="C131" s="155">
        <f>IF(D94="","-",+C130+1)</f>
        <v>2044</v>
      </c>
      <c r="D131" s="156">
        <f>IF(F130+SUM(E$100:E130)=D$93,F130,D$93-SUM(E$100:E130))</f>
        <v>1531209.0699346438</v>
      </c>
      <c r="E131" s="402">
        <f t="shared" si="17"/>
        <v>200286.36111111112</v>
      </c>
      <c r="F131" s="161">
        <f t="shared" si="18"/>
        <v>1330922.7088235328</v>
      </c>
      <c r="G131" s="161">
        <f t="shared" si="19"/>
        <v>1431065.8893790883</v>
      </c>
      <c r="H131" s="403">
        <f t="shared" si="20"/>
        <v>351353.18121612479</v>
      </c>
      <c r="I131" s="404">
        <f t="shared" si="21"/>
        <v>351353.18121612479</v>
      </c>
      <c r="J131" s="160">
        <f t="shared" si="16"/>
        <v>0</v>
      </c>
      <c r="K131" s="160"/>
      <c r="L131" s="316"/>
      <c r="M131" s="160">
        <f t="shared" si="12"/>
        <v>0</v>
      </c>
      <c r="N131" s="316"/>
      <c r="O131" s="160">
        <f t="shared" si="13"/>
        <v>0</v>
      </c>
      <c r="P131" s="160">
        <f t="shared" si="14"/>
        <v>0</v>
      </c>
      <c r="Q131" s="1"/>
      <c r="R131" s="1"/>
      <c r="S131" s="1"/>
      <c r="T131" s="1"/>
      <c r="U131" s="1"/>
    </row>
    <row r="132" spans="2:21">
      <c r="B132" t="str">
        <f t="shared" si="15"/>
        <v/>
      </c>
      <c r="C132" s="155">
        <f>IF(D94="","-",+C131+1)</f>
        <v>2045</v>
      </c>
      <c r="D132" s="156">
        <f>IF(F131+SUM(E$100:E131)=D$93,F131,D$93-SUM(E$100:E131))</f>
        <v>1330922.7088235328</v>
      </c>
      <c r="E132" s="402">
        <f t="shared" si="17"/>
        <v>200286.36111111112</v>
      </c>
      <c r="F132" s="161">
        <f t="shared" si="18"/>
        <v>1130636.3477124218</v>
      </c>
      <c r="G132" s="161">
        <f t="shared" si="19"/>
        <v>1230779.5282679773</v>
      </c>
      <c r="H132" s="403">
        <f t="shared" si="20"/>
        <v>330210.46241609263</v>
      </c>
      <c r="I132" s="404">
        <f t="shared" si="21"/>
        <v>330210.46241609263</v>
      </c>
      <c r="J132" s="160">
        <f t="shared" si="16"/>
        <v>0</v>
      </c>
      <c r="K132" s="160"/>
      <c r="L132" s="316"/>
      <c r="M132" s="160">
        <f t="shared" ref="M132:M155" si="22">IF(L542&lt;&gt;0,+H542-L542,0)</f>
        <v>0</v>
      </c>
      <c r="N132" s="316"/>
      <c r="O132" s="160">
        <f t="shared" ref="O132:O155" si="23">IF(N542&lt;&gt;0,+I542-N542,0)</f>
        <v>0</v>
      </c>
      <c r="P132" s="160">
        <f t="shared" ref="P132:P155" si="24">+O542-M542</f>
        <v>0</v>
      </c>
      <c r="Q132" s="1"/>
      <c r="R132" s="1"/>
      <c r="S132" s="1"/>
      <c r="T132" s="1"/>
      <c r="U132" s="1"/>
    </row>
    <row r="133" spans="2:21">
      <c r="B133" t="str">
        <f t="shared" si="15"/>
        <v/>
      </c>
      <c r="C133" s="155">
        <f>IF(D94="","-",+C132+1)</f>
        <v>2046</v>
      </c>
      <c r="D133" s="156">
        <f>IF(F132+SUM(E$100:E132)=D$93,F132,D$93-SUM(E$100:E132))</f>
        <v>1130636.3477124218</v>
      </c>
      <c r="E133" s="402">
        <f t="shared" si="17"/>
        <v>200286.36111111112</v>
      </c>
      <c r="F133" s="161">
        <f t="shared" si="18"/>
        <v>930349.98660131067</v>
      </c>
      <c r="G133" s="161">
        <f t="shared" si="19"/>
        <v>1030493.1671568663</v>
      </c>
      <c r="H133" s="403">
        <f t="shared" si="20"/>
        <v>309067.74361606041</v>
      </c>
      <c r="I133" s="404">
        <f t="shared" si="21"/>
        <v>309067.74361606041</v>
      </c>
      <c r="J133" s="160">
        <f t="shared" si="16"/>
        <v>0</v>
      </c>
      <c r="K133" s="160"/>
      <c r="L133" s="316"/>
      <c r="M133" s="160">
        <f t="shared" si="22"/>
        <v>0</v>
      </c>
      <c r="N133" s="316"/>
      <c r="O133" s="160">
        <f t="shared" si="23"/>
        <v>0</v>
      </c>
      <c r="P133" s="160">
        <f t="shared" si="24"/>
        <v>0</v>
      </c>
      <c r="Q133" s="1"/>
      <c r="R133" s="1"/>
      <c r="S133" s="1"/>
      <c r="T133" s="1"/>
      <c r="U133" s="1"/>
    </row>
    <row r="134" spans="2:21">
      <c r="B134" t="str">
        <f t="shared" si="15"/>
        <v/>
      </c>
      <c r="C134" s="155">
        <f>IF(D94="","-",+C133+1)</f>
        <v>2047</v>
      </c>
      <c r="D134" s="156">
        <f>IF(F133+SUM(E$100:E133)=D$93,F133,D$93-SUM(E$100:E133))</f>
        <v>930349.98660131067</v>
      </c>
      <c r="E134" s="402">
        <f t="shared" si="17"/>
        <v>200286.36111111112</v>
      </c>
      <c r="F134" s="161">
        <f t="shared" si="18"/>
        <v>730063.62549019954</v>
      </c>
      <c r="G134" s="161">
        <f t="shared" si="19"/>
        <v>830206.80604575505</v>
      </c>
      <c r="H134" s="403">
        <f t="shared" si="20"/>
        <v>287925.02481602825</v>
      </c>
      <c r="I134" s="404">
        <f t="shared" si="21"/>
        <v>287925.02481602825</v>
      </c>
      <c r="J134" s="160">
        <f t="shared" si="16"/>
        <v>0</v>
      </c>
      <c r="K134" s="160"/>
      <c r="L134" s="316"/>
      <c r="M134" s="160">
        <f t="shared" si="22"/>
        <v>0</v>
      </c>
      <c r="N134" s="316"/>
      <c r="O134" s="160">
        <f t="shared" si="23"/>
        <v>0</v>
      </c>
      <c r="P134" s="160">
        <f t="shared" si="24"/>
        <v>0</v>
      </c>
      <c r="Q134" s="1"/>
      <c r="R134" s="1"/>
      <c r="S134" s="1"/>
      <c r="T134" s="1"/>
      <c r="U134" s="1"/>
    </row>
    <row r="135" spans="2:21">
      <c r="B135" t="str">
        <f t="shared" si="15"/>
        <v/>
      </c>
      <c r="C135" s="155">
        <f>IF(D94="","-",+C134+1)</f>
        <v>2048</v>
      </c>
      <c r="D135" s="156">
        <f>IF(F134+SUM(E$100:E134)=D$93,F134,D$93-SUM(E$100:E134))</f>
        <v>730063.62549019954</v>
      </c>
      <c r="E135" s="402">
        <f t="shared" si="17"/>
        <v>200286.36111111112</v>
      </c>
      <c r="F135" s="161">
        <f t="shared" si="18"/>
        <v>529777.26437908842</v>
      </c>
      <c r="G135" s="161">
        <f t="shared" si="19"/>
        <v>629920.44493464404</v>
      </c>
      <c r="H135" s="403">
        <f t="shared" si="20"/>
        <v>266782.30601599609</v>
      </c>
      <c r="I135" s="404">
        <f t="shared" si="21"/>
        <v>266782.30601599609</v>
      </c>
      <c r="J135" s="160">
        <f t="shared" si="16"/>
        <v>0</v>
      </c>
      <c r="K135" s="160"/>
      <c r="L135" s="316"/>
      <c r="M135" s="160">
        <f t="shared" si="22"/>
        <v>0</v>
      </c>
      <c r="N135" s="316"/>
      <c r="O135" s="160">
        <f t="shared" si="23"/>
        <v>0</v>
      </c>
      <c r="P135" s="160">
        <f t="shared" si="24"/>
        <v>0</v>
      </c>
      <c r="Q135" s="1"/>
      <c r="R135" s="1"/>
      <c r="S135" s="1"/>
      <c r="T135" s="1"/>
      <c r="U135" s="1"/>
    </row>
    <row r="136" spans="2:21">
      <c r="B136" t="str">
        <f t="shared" si="15"/>
        <v/>
      </c>
      <c r="C136" s="155">
        <f>IF(D94="","-",+C135+1)</f>
        <v>2049</v>
      </c>
      <c r="D136" s="156">
        <f>IF(F135+SUM(E$100:E135)=D$93,F135,D$93-SUM(E$100:E135))</f>
        <v>529777.26437908842</v>
      </c>
      <c r="E136" s="402">
        <f t="shared" si="17"/>
        <v>200286.36111111112</v>
      </c>
      <c r="F136" s="161">
        <f t="shared" si="18"/>
        <v>329490.90326797729</v>
      </c>
      <c r="G136" s="161">
        <f t="shared" si="19"/>
        <v>429634.08382353286</v>
      </c>
      <c r="H136" s="403">
        <f t="shared" si="20"/>
        <v>245639.58721596387</v>
      </c>
      <c r="I136" s="404">
        <f t="shared" si="21"/>
        <v>245639.58721596387</v>
      </c>
      <c r="J136" s="160">
        <f t="shared" si="16"/>
        <v>0</v>
      </c>
      <c r="K136" s="160"/>
      <c r="L136" s="316"/>
      <c r="M136" s="160">
        <f t="shared" si="22"/>
        <v>0</v>
      </c>
      <c r="N136" s="316"/>
      <c r="O136" s="160">
        <f t="shared" si="23"/>
        <v>0</v>
      </c>
      <c r="P136" s="160">
        <f t="shared" si="24"/>
        <v>0</v>
      </c>
      <c r="Q136" s="1"/>
      <c r="R136" s="1"/>
      <c r="S136" s="1"/>
      <c r="T136" s="1"/>
      <c r="U136" s="1"/>
    </row>
    <row r="137" spans="2:21">
      <c r="B137" t="str">
        <f t="shared" si="15"/>
        <v/>
      </c>
      <c r="C137" s="155">
        <f>IF(D94="","-",+C136+1)</f>
        <v>2050</v>
      </c>
      <c r="D137" s="156">
        <f>IF(F136+SUM(E$100:E136)=D$93,F136,D$93-SUM(E$100:E136))</f>
        <v>329490.90326797729</v>
      </c>
      <c r="E137" s="402">
        <f t="shared" si="17"/>
        <v>200286.36111111112</v>
      </c>
      <c r="F137" s="161">
        <f t="shared" si="18"/>
        <v>129204.54215686617</v>
      </c>
      <c r="G137" s="161">
        <f t="shared" si="19"/>
        <v>229347.72271242173</v>
      </c>
      <c r="H137" s="403">
        <f t="shared" si="20"/>
        <v>224496.86841593171</v>
      </c>
      <c r="I137" s="404">
        <f t="shared" si="21"/>
        <v>224496.86841593171</v>
      </c>
      <c r="J137" s="160">
        <f t="shared" si="16"/>
        <v>0</v>
      </c>
      <c r="K137" s="160"/>
      <c r="L137" s="316"/>
      <c r="M137" s="160">
        <f t="shared" si="22"/>
        <v>0</v>
      </c>
      <c r="N137" s="316"/>
      <c r="O137" s="160">
        <f t="shared" si="23"/>
        <v>0</v>
      </c>
      <c r="P137" s="160">
        <f t="shared" si="24"/>
        <v>0</v>
      </c>
      <c r="Q137" s="1"/>
      <c r="R137" s="1"/>
      <c r="S137" s="1"/>
      <c r="T137" s="1"/>
      <c r="U137" s="1"/>
    </row>
    <row r="138" spans="2:21">
      <c r="B138" t="str">
        <f t="shared" si="15"/>
        <v/>
      </c>
      <c r="C138" s="155">
        <f>IF(D94="","-",+C137+1)</f>
        <v>2051</v>
      </c>
      <c r="D138" s="156">
        <f>IF(F137+SUM(E$100:E137)=D$93,F137,D$93-SUM(E$100:E137))</f>
        <v>129204.54215686617</v>
      </c>
      <c r="E138" s="402">
        <f t="shared" si="17"/>
        <v>129204.54215686617</v>
      </c>
      <c r="F138" s="161">
        <f t="shared" si="18"/>
        <v>0</v>
      </c>
      <c r="G138" s="161">
        <f t="shared" si="19"/>
        <v>64602.271078433085</v>
      </c>
      <c r="H138" s="403">
        <f t="shared" si="20"/>
        <v>136024.11610926842</v>
      </c>
      <c r="I138" s="404">
        <f t="shared" si="21"/>
        <v>136024.11610926842</v>
      </c>
      <c r="J138" s="160">
        <f t="shared" si="16"/>
        <v>0</v>
      </c>
      <c r="K138" s="160"/>
      <c r="L138" s="316"/>
      <c r="M138" s="160">
        <f t="shared" si="22"/>
        <v>0</v>
      </c>
      <c r="N138" s="316"/>
      <c r="O138" s="160">
        <f t="shared" si="23"/>
        <v>0</v>
      </c>
      <c r="P138" s="160">
        <f t="shared" si="24"/>
        <v>0</v>
      </c>
      <c r="Q138" s="1"/>
      <c r="R138" s="1"/>
      <c r="S138" s="1"/>
      <c r="T138" s="1"/>
      <c r="U138" s="1"/>
    </row>
    <row r="139" spans="2:21">
      <c r="B139" t="str">
        <f t="shared" si="15"/>
        <v/>
      </c>
      <c r="C139" s="155">
        <f>IF(D94="","-",+C138+1)</f>
        <v>2052</v>
      </c>
      <c r="D139" s="156">
        <f>IF(F138+SUM(E$100:E138)=D$93,F138,D$93-SUM(E$100:E138))</f>
        <v>0</v>
      </c>
      <c r="E139" s="402">
        <f t="shared" si="17"/>
        <v>0</v>
      </c>
      <c r="F139" s="161">
        <f t="shared" si="18"/>
        <v>0</v>
      </c>
      <c r="G139" s="161">
        <f t="shared" si="19"/>
        <v>0</v>
      </c>
      <c r="H139" s="403">
        <f t="shared" si="20"/>
        <v>0</v>
      </c>
      <c r="I139" s="404">
        <f t="shared" si="21"/>
        <v>0</v>
      </c>
      <c r="J139" s="160">
        <f t="shared" si="16"/>
        <v>0</v>
      </c>
      <c r="K139" s="160"/>
      <c r="L139" s="316"/>
      <c r="M139" s="160">
        <f t="shared" si="22"/>
        <v>0</v>
      </c>
      <c r="N139" s="316"/>
      <c r="O139" s="160">
        <f t="shared" si="23"/>
        <v>0</v>
      </c>
      <c r="P139" s="160">
        <f t="shared" si="24"/>
        <v>0</v>
      </c>
      <c r="Q139" s="1"/>
      <c r="R139" s="1"/>
      <c r="S139" s="1"/>
      <c r="T139" s="1"/>
      <c r="U139" s="1"/>
    </row>
    <row r="140" spans="2:21">
      <c r="B140" t="str">
        <f t="shared" si="15"/>
        <v/>
      </c>
      <c r="C140" s="155">
        <f>IF(D94="","-",+C139+1)</f>
        <v>2053</v>
      </c>
      <c r="D140" s="156">
        <f>IF(F139+SUM(E$100:E139)=D$93,F139,D$93-SUM(E$100:E139))</f>
        <v>0</v>
      </c>
      <c r="E140" s="402">
        <f t="shared" si="17"/>
        <v>0</v>
      </c>
      <c r="F140" s="161">
        <f t="shared" si="18"/>
        <v>0</v>
      </c>
      <c r="G140" s="161">
        <f t="shared" si="19"/>
        <v>0</v>
      </c>
      <c r="H140" s="403">
        <f t="shared" si="20"/>
        <v>0</v>
      </c>
      <c r="I140" s="404">
        <f t="shared" si="21"/>
        <v>0</v>
      </c>
      <c r="J140" s="160">
        <f t="shared" si="16"/>
        <v>0</v>
      </c>
      <c r="K140" s="160"/>
      <c r="L140" s="316"/>
      <c r="M140" s="160">
        <f t="shared" si="22"/>
        <v>0</v>
      </c>
      <c r="N140" s="316"/>
      <c r="O140" s="160">
        <f t="shared" si="23"/>
        <v>0</v>
      </c>
      <c r="P140" s="160">
        <f t="shared" si="24"/>
        <v>0</v>
      </c>
      <c r="Q140" s="1"/>
      <c r="R140" s="1"/>
      <c r="S140" s="1"/>
      <c r="T140" s="1"/>
      <c r="U140" s="1"/>
    </row>
    <row r="141" spans="2:21">
      <c r="B141" t="str">
        <f t="shared" si="15"/>
        <v/>
      </c>
      <c r="C141" s="155">
        <f>IF(D94="","-",+C140+1)</f>
        <v>2054</v>
      </c>
      <c r="D141" s="156">
        <f>IF(F140+SUM(E$100:E140)=D$93,F140,D$93-SUM(E$100:E140))</f>
        <v>0</v>
      </c>
      <c r="E141" s="402">
        <f t="shared" si="17"/>
        <v>0</v>
      </c>
      <c r="F141" s="161">
        <f t="shared" si="18"/>
        <v>0</v>
      </c>
      <c r="G141" s="161">
        <f t="shared" si="19"/>
        <v>0</v>
      </c>
      <c r="H141" s="403">
        <f t="shared" si="20"/>
        <v>0</v>
      </c>
      <c r="I141" s="404">
        <f t="shared" si="21"/>
        <v>0</v>
      </c>
      <c r="J141" s="160">
        <f t="shared" si="16"/>
        <v>0</v>
      </c>
      <c r="K141" s="160"/>
      <c r="L141" s="316"/>
      <c r="M141" s="160">
        <f t="shared" si="22"/>
        <v>0</v>
      </c>
      <c r="N141" s="316"/>
      <c r="O141" s="160">
        <f t="shared" si="23"/>
        <v>0</v>
      </c>
      <c r="P141" s="160">
        <f t="shared" si="24"/>
        <v>0</v>
      </c>
      <c r="Q141" s="1"/>
      <c r="R141" s="1"/>
      <c r="S141" s="1"/>
      <c r="T141" s="1"/>
      <c r="U141" s="1"/>
    </row>
    <row r="142" spans="2:21">
      <c r="B142" t="str">
        <f t="shared" si="15"/>
        <v/>
      </c>
      <c r="C142" s="155">
        <f>IF(D94="","-",+C141+1)</f>
        <v>2055</v>
      </c>
      <c r="D142" s="156">
        <f>IF(F141+SUM(E$100:E141)=D$93,F141,D$93-SUM(E$100:E141))</f>
        <v>0</v>
      </c>
      <c r="E142" s="402">
        <f t="shared" si="17"/>
        <v>0</v>
      </c>
      <c r="F142" s="161">
        <f t="shared" si="18"/>
        <v>0</v>
      </c>
      <c r="G142" s="161">
        <f t="shared" si="19"/>
        <v>0</v>
      </c>
      <c r="H142" s="403">
        <f t="shared" si="20"/>
        <v>0</v>
      </c>
      <c r="I142" s="404">
        <f t="shared" si="21"/>
        <v>0</v>
      </c>
      <c r="J142" s="160">
        <f t="shared" si="16"/>
        <v>0</v>
      </c>
      <c r="K142" s="160"/>
      <c r="L142" s="316"/>
      <c r="M142" s="160">
        <f t="shared" si="22"/>
        <v>0</v>
      </c>
      <c r="N142" s="316"/>
      <c r="O142" s="160">
        <f t="shared" si="23"/>
        <v>0</v>
      </c>
      <c r="P142" s="160">
        <f t="shared" si="24"/>
        <v>0</v>
      </c>
      <c r="Q142" s="1"/>
      <c r="R142" s="1"/>
      <c r="S142" s="1"/>
      <c r="T142" s="1"/>
      <c r="U142" s="1"/>
    </row>
    <row r="143" spans="2:21">
      <c r="B143" t="str">
        <f t="shared" si="15"/>
        <v/>
      </c>
      <c r="C143" s="155">
        <f>IF(D94="","-",+C142+1)</f>
        <v>2056</v>
      </c>
      <c r="D143" s="156">
        <f>IF(F142+SUM(E$100:E142)=D$93,F142,D$93-SUM(E$100:E142))</f>
        <v>0</v>
      </c>
      <c r="E143" s="402">
        <f t="shared" si="17"/>
        <v>0</v>
      </c>
      <c r="F143" s="161">
        <f t="shared" si="18"/>
        <v>0</v>
      </c>
      <c r="G143" s="161">
        <f t="shared" si="19"/>
        <v>0</v>
      </c>
      <c r="H143" s="403">
        <f t="shared" si="20"/>
        <v>0</v>
      </c>
      <c r="I143" s="404">
        <f t="shared" si="21"/>
        <v>0</v>
      </c>
      <c r="J143" s="160">
        <f t="shared" si="16"/>
        <v>0</v>
      </c>
      <c r="K143" s="160"/>
      <c r="L143" s="316"/>
      <c r="M143" s="160">
        <f t="shared" si="22"/>
        <v>0</v>
      </c>
      <c r="N143" s="316"/>
      <c r="O143" s="160">
        <f t="shared" si="23"/>
        <v>0</v>
      </c>
      <c r="P143" s="160">
        <f t="shared" si="24"/>
        <v>0</v>
      </c>
      <c r="Q143" s="1"/>
      <c r="R143" s="1"/>
      <c r="S143" s="1"/>
      <c r="T143" s="1"/>
      <c r="U143" s="1"/>
    </row>
    <row r="144" spans="2:21">
      <c r="B144" t="str">
        <f t="shared" si="15"/>
        <v/>
      </c>
      <c r="C144" s="155">
        <f>IF(D94="","-",+C143+1)</f>
        <v>2057</v>
      </c>
      <c r="D144" s="156">
        <f>IF(F143+SUM(E$100:E143)=D$93,F143,D$93-SUM(E$100:E143))</f>
        <v>0</v>
      </c>
      <c r="E144" s="402">
        <f t="shared" si="17"/>
        <v>0</v>
      </c>
      <c r="F144" s="161">
        <f t="shared" si="18"/>
        <v>0</v>
      </c>
      <c r="G144" s="161">
        <f t="shared" si="19"/>
        <v>0</v>
      </c>
      <c r="H144" s="403">
        <f t="shared" si="20"/>
        <v>0</v>
      </c>
      <c r="I144" s="404">
        <f t="shared" si="21"/>
        <v>0</v>
      </c>
      <c r="J144" s="160">
        <f t="shared" si="16"/>
        <v>0</v>
      </c>
      <c r="K144" s="160"/>
      <c r="L144" s="316"/>
      <c r="M144" s="160">
        <f t="shared" si="22"/>
        <v>0</v>
      </c>
      <c r="N144" s="316"/>
      <c r="O144" s="160">
        <f t="shared" si="23"/>
        <v>0</v>
      </c>
      <c r="P144" s="160">
        <f t="shared" si="24"/>
        <v>0</v>
      </c>
      <c r="Q144" s="1"/>
      <c r="R144" s="1"/>
      <c r="S144" s="1"/>
      <c r="T144" s="1"/>
      <c r="U144" s="1"/>
    </row>
    <row r="145" spans="2:21">
      <c r="B145" t="str">
        <f t="shared" si="15"/>
        <v/>
      </c>
      <c r="C145" s="155">
        <f>IF(D94="","-",+C144+1)</f>
        <v>2058</v>
      </c>
      <c r="D145" s="156">
        <f>IF(F144+SUM(E$100:E144)=D$93,F144,D$93-SUM(E$100:E144))</f>
        <v>0</v>
      </c>
      <c r="E145" s="402">
        <f t="shared" si="17"/>
        <v>0</v>
      </c>
      <c r="F145" s="161">
        <f t="shared" si="18"/>
        <v>0</v>
      </c>
      <c r="G145" s="161">
        <f t="shared" si="19"/>
        <v>0</v>
      </c>
      <c r="H145" s="403">
        <f t="shared" si="20"/>
        <v>0</v>
      </c>
      <c r="I145" s="404">
        <f t="shared" si="21"/>
        <v>0</v>
      </c>
      <c r="J145" s="160">
        <f t="shared" si="16"/>
        <v>0</v>
      </c>
      <c r="K145" s="160"/>
      <c r="L145" s="316"/>
      <c r="M145" s="160">
        <f t="shared" si="22"/>
        <v>0</v>
      </c>
      <c r="N145" s="316"/>
      <c r="O145" s="160">
        <f t="shared" si="23"/>
        <v>0</v>
      </c>
      <c r="P145" s="160">
        <f t="shared" si="24"/>
        <v>0</v>
      </c>
      <c r="Q145" s="1"/>
      <c r="R145" s="1"/>
      <c r="S145" s="1"/>
      <c r="T145" s="1"/>
      <c r="U145" s="1"/>
    </row>
    <row r="146" spans="2:21">
      <c r="B146" t="str">
        <f t="shared" si="15"/>
        <v/>
      </c>
      <c r="C146" s="155">
        <f>IF(D94="","-",+C145+1)</f>
        <v>2059</v>
      </c>
      <c r="D146" s="156">
        <f>IF(F145+SUM(E$100:E145)=D$93,F145,D$93-SUM(E$100:E145))</f>
        <v>0</v>
      </c>
      <c r="E146" s="402">
        <f t="shared" si="17"/>
        <v>0</v>
      </c>
      <c r="F146" s="161">
        <f t="shared" si="18"/>
        <v>0</v>
      </c>
      <c r="G146" s="161">
        <f t="shared" si="19"/>
        <v>0</v>
      </c>
      <c r="H146" s="403">
        <f t="shared" si="20"/>
        <v>0</v>
      </c>
      <c r="I146" s="404">
        <f t="shared" si="21"/>
        <v>0</v>
      </c>
      <c r="J146" s="160">
        <f t="shared" si="16"/>
        <v>0</v>
      </c>
      <c r="K146" s="160"/>
      <c r="L146" s="316"/>
      <c r="M146" s="160">
        <f t="shared" si="22"/>
        <v>0</v>
      </c>
      <c r="N146" s="316"/>
      <c r="O146" s="160">
        <f t="shared" si="23"/>
        <v>0</v>
      </c>
      <c r="P146" s="160">
        <f t="shared" si="24"/>
        <v>0</v>
      </c>
      <c r="Q146" s="1"/>
      <c r="R146" s="1"/>
      <c r="S146" s="1"/>
      <c r="T146" s="1"/>
      <c r="U146" s="1"/>
    </row>
    <row r="147" spans="2:21">
      <c r="B147" t="str">
        <f t="shared" si="15"/>
        <v/>
      </c>
      <c r="C147" s="155">
        <f>IF(D94="","-",+C146+1)</f>
        <v>2060</v>
      </c>
      <c r="D147" s="156">
        <f>IF(F146+SUM(E$100:E146)=D$93,F146,D$93-SUM(E$100:E146))</f>
        <v>0</v>
      </c>
      <c r="E147" s="402">
        <f t="shared" si="17"/>
        <v>0</v>
      </c>
      <c r="F147" s="161">
        <f t="shared" si="18"/>
        <v>0</v>
      </c>
      <c r="G147" s="161">
        <f t="shared" si="19"/>
        <v>0</v>
      </c>
      <c r="H147" s="403">
        <f t="shared" si="20"/>
        <v>0</v>
      </c>
      <c r="I147" s="404">
        <f t="shared" si="21"/>
        <v>0</v>
      </c>
      <c r="J147" s="160">
        <f t="shared" si="16"/>
        <v>0</v>
      </c>
      <c r="K147" s="160"/>
      <c r="L147" s="316"/>
      <c r="M147" s="160">
        <f t="shared" si="22"/>
        <v>0</v>
      </c>
      <c r="N147" s="316"/>
      <c r="O147" s="160">
        <f t="shared" si="23"/>
        <v>0</v>
      </c>
      <c r="P147" s="160">
        <f t="shared" si="24"/>
        <v>0</v>
      </c>
      <c r="Q147" s="1"/>
      <c r="R147" s="1"/>
      <c r="S147" s="1"/>
      <c r="T147" s="1"/>
      <c r="U147" s="1"/>
    </row>
    <row r="148" spans="2:21">
      <c r="B148" t="str">
        <f t="shared" si="15"/>
        <v/>
      </c>
      <c r="C148" s="155">
        <f>IF(D94="","-",+C147+1)</f>
        <v>2061</v>
      </c>
      <c r="D148" s="156">
        <f>IF(F147+SUM(E$100:E147)=D$93,F147,D$93-SUM(E$100:E147))</f>
        <v>0</v>
      </c>
      <c r="E148" s="402">
        <f t="shared" si="17"/>
        <v>0</v>
      </c>
      <c r="F148" s="161">
        <f t="shared" si="18"/>
        <v>0</v>
      </c>
      <c r="G148" s="161">
        <f t="shared" si="19"/>
        <v>0</v>
      </c>
      <c r="H148" s="403">
        <f t="shared" si="20"/>
        <v>0</v>
      </c>
      <c r="I148" s="404">
        <f t="shared" si="21"/>
        <v>0</v>
      </c>
      <c r="J148" s="160">
        <f t="shared" si="16"/>
        <v>0</v>
      </c>
      <c r="K148" s="160"/>
      <c r="L148" s="316"/>
      <c r="M148" s="160">
        <f t="shared" si="22"/>
        <v>0</v>
      </c>
      <c r="N148" s="316"/>
      <c r="O148" s="160">
        <f t="shared" si="23"/>
        <v>0</v>
      </c>
      <c r="P148" s="160">
        <f t="shared" si="24"/>
        <v>0</v>
      </c>
      <c r="Q148" s="1"/>
      <c r="R148" s="1"/>
      <c r="S148" s="1"/>
      <c r="T148" s="1"/>
      <c r="U148" s="1"/>
    </row>
    <row r="149" spans="2:21">
      <c r="B149" t="str">
        <f t="shared" si="15"/>
        <v/>
      </c>
      <c r="C149" s="155">
        <f>IF(D94="","-",+C148+1)</f>
        <v>2062</v>
      </c>
      <c r="D149" s="156">
        <f>IF(F148+SUM(E$100:E148)=D$93,F148,D$93-SUM(E$100:E148))</f>
        <v>0</v>
      </c>
      <c r="E149" s="402">
        <f t="shared" si="17"/>
        <v>0</v>
      </c>
      <c r="F149" s="161">
        <f t="shared" si="18"/>
        <v>0</v>
      </c>
      <c r="G149" s="161">
        <f t="shared" si="19"/>
        <v>0</v>
      </c>
      <c r="H149" s="403">
        <f t="shared" si="20"/>
        <v>0</v>
      </c>
      <c r="I149" s="404">
        <f t="shared" si="21"/>
        <v>0</v>
      </c>
      <c r="J149" s="160">
        <f t="shared" si="16"/>
        <v>0</v>
      </c>
      <c r="K149" s="160"/>
      <c r="L149" s="316"/>
      <c r="M149" s="160">
        <f t="shared" si="22"/>
        <v>0</v>
      </c>
      <c r="N149" s="316"/>
      <c r="O149" s="160">
        <f t="shared" si="23"/>
        <v>0</v>
      </c>
      <c r="P149" s="160">
        <f t="shared" si="24"/>
        <v>0</v>
      </c>
      <c r="Q149" s="1"/>
      <c r="R149" s="1"/>
      <c r="S149" s="1"/>
      <c r="T149" s="1"/>
      <c r="U149" s="1"/>
    </row>
    <row r="150" spans="2:21">
      <c r="B150" t="str">
        <f t="shared" si="15"/>
        <v/>
      </c>
      <c r="C150" s="155">
        <f>IF(D94="","-",+C149+1)</f>
        <v>2063</v>
      </c>
      <c r="D150" s="156">
        <f>IF(F149+SUM(E$100:E149)=D$93,F149,D$93-SUM(E$100:E149))</f>
        <v>0</v>
      </c>
      <c r="E150" s="402">
        <f t="shared" si="17"/>
        <v>0</v>
      </c>
      <c r="F150" s="161">
        <f t="shared" si="18"/>
        <v>0</v>
      </c>
      <c r="G150" s="161">
        <f t="shared" si="19"/>
        <v>0</v>
      </c>
      <c r="H150" s="403">
        <f t="shared" si="20"/>
        <v>0</v>
      </c>
      <c r="I150" s="404">
        <f t="shared" si="21"/>
        <v>0</v>
      </c>
      <c r="J150" s="160">
        <f t="shared" si="16"/>
        <v>0</v>
      </c>
      <c r="K150" s="160"/>
      <c r="L150" s="316"/>
      <c r="M150" s="160">
        <f t="shared" si="22"/>
        <v>0</v>
      </c>
      <c r="N150" s="316"/>
      <c r="O150" s="160">
        <f t="shared" si="23"/>
        <v>0</v>
      </c>
      <c r="P150" s="160">
        <f t="shared" si="24"/>
        <v>0</v>
      </c>
      <c r="Q150" s="1"/>
      <c r="R150" s="1"/>
      <c r="S150" s="1"/>
      <c r="T150" s="1"/>
      <c r="U150" s="1"/>
    </row>
    <row r="151" spans="2:21">
      <c r="B151" t="str">
        <f t="shared" si="15"/>
        <v/>
      </c>
      <c r="C151" s="155">
        <f>IF(D94="","-",+C150+1)</f>
        <v>2064</v>
      </c>
      <c r="D151" s="156">
        <f>IF(F150+SUM(E$100:E150)=D$93,F150,D$93-SUM(E$100:E150))</f>
        <v>0</v>
      </c>
      <c r="E151" s="402">
        <f t="shared" si="17"/>
        <v>0</v>
      </c>
      <c r="F151" s="161">
        <f t="shared" si="18"/>
        <v>0</v>
      </c>
      <c r="G151" s="161">
        <f t="shared" si="19"/>
        <v>0</v>
      </c>
      <c r="H151" s="403">
        <f t="shared" si="20"/>
        <v>0</v>
      </c>
      <c r="I151" s="404">
        <f t="shared" si="21"/>
        <v>0</v>
      </c>
      <c r="J151" s="160">
        <f t="shared" si="16"/>
        <v>0</v>
      </c>
      <c r="K151" s="160"/>
      <c r="L151" s="316"/>
      <c r="M151" s="160">
        <f t="shared" si="22"/>
        <v>0</v>
      </c>
      <c r="N151" s="316"/>
      <c r="O151" s="160">
        <f t="shared" si="23"/>
        <v>0</v>
      </c>
      <c r="P151" s="160">
        <f t="shared" si="24"/>
        <v>0</v>
      </c>
      <c r="Q151" s="1"/>
      <c r="R151" s="1"/>
      <c r="S151" s="1"/>
      <c r="T151" s="1"/>
      <c r="U151" s="1"/>
    </row>
    <row r="152" spans="2:21">
      <c r="B152" t="str">
        <f t="shared" si="15"/>
        <v/>
      </c>
      <c r="C152" s="155">
        <f>IF(D94="","-",+C151+1)</f>
        <v>2065</v>
      </c>
      <c r="D152" s="156">
        <f>IF(F151+SUM(E$100:E151)=D$93,F151,D$93-SUM(E$100:E151))</f>
        <v>0</v>
      </c>
      <c r="E152" s="402">
        <f t="shared" si="17"/>
        <v>0</v>
      </c>
      <c r="F152" s="161">
        <f t="shared" si="18"/>
        <v>0</v>
      </c>
      <c r="G152" s="161">
        <f t="shared" si="19"/>
        <v>0</v>
      </c>
      <c r="H152" s="403">
        <f t="shared" si="20"/>
        <v>0</v>
      </c>
      <c r="I152" s="404">
        <f t="shared" si="21"/>
        <v>0</v>
      </c>
      <c r="J152" s="160">
        <f t="shared" si="16"/>
        <v>0</v>
      </c>
      <c r="K152" s="160"/>
      <c r="L152" s="316"/>
      <c r="M152" s="160">
        <f t="shared" si="22"/>
        <v>0</v>
      </c>
      <c r="N152" s="316"/>
      <c r="O152" s="160">
        <f t="shared" si="23"/>
        <v>0</v>
      </c>
      <c r="P152" s="160">
        <f t="shared" si="24"/>
        <v>0</v>
      </c>
      <c r="Q152" s="1"/>
      <c r="R152" s="1"/>
      <c r="S152" s="1"/>
      <c r="T152" s="1"/>
      <c r="U152" s="1"/>
    </row>
    <row r="153" spans="2:21">
      <c r="B153" t="str">
        <f t="shared" si="15"/>
        <v/>
      </c>
      <c r="C153" s="155">
        <f>IF(D94="","-",+C152+1)</f>
        <v>2066</v>
      </c>
      <c r="D153" s="156">
        <f>IF(F152+SUM(E$100:E152)=D$93,F152,D$93-SUM(E$100:E152))</f>
        <v>0</v>
      </c>
      <c r="E153" s="402">
        <f t="shared" si="17"/>
        <v>0</v>
      </c>
      <c r="F153" s="161">
        <f t="shared" si="18"/>
        <v>0</v>
      </c>
      <c r="G153" s="161">
        <f t="shared" si="19"/>
        <v>0</v>
      </c>
      <c r="H153" s="403">
        <f t="shared" si="20"/>
        <v>0</v>
      </c>
      <c r="I153" s="404">
        <f t="shared" si="21"/>
        <v>0</v>
      </c>
      <c r="J153" s="160">
        <f t="shared" si="16"/>
        <v>0</v>
      </c>
      <c r="K153" s="160"/>
      <c r="L153" s="316"/>
      <c r="M153" s="160">
        <f t="shared" si="22"/>
        <v>0</v>
      </c>
      <c r="N153" s="316"/>
      <c r="O153" s="160">
        <f t="shared" si="23"/>
        <v>0</v>
      </c>
      <c r="P153" s="160">
        <f t="shared" si="24"/>
        <v>0</v>
      </c>
      <c r="Q153" s="1"/>
      <c r="R153" s="1"/>
      <c r="S153" s="1"/>
      <c r="T153" s="1"/>
      <c r="U153" s="1"/>
    </row>
    <row r="154" spans="2:21">
      <c r="B154" t="str">
        <f t="shared" si="15"/>
        <v/>
      </c>
      <c r="C154" s="155">
        <f>IF(D94="","-",+C153+1)</f>
        <v>2067</v>
      </c>
      <c r="D154" s="156">
        <f>IF(F153+SUM(E$100:E153)=D$93,F153,D$93-SUM(E$100:E153))</f>
        <v>0</v>
      </c>
      <c r="E154" s="402">
        <f t="shared" si="17"/>
        <v>0</v>
      </c>
      <c r="F154" s="161">
        <f t="shared" si="18"/>
        <v>0</v>
      </c>
      <c r="G154" s="161">
        <f t="shared" si="19"/>
        <v>0</v>
      </c>
      <c r="H154" s="403">
        <f t="shared" si="20"/>
        <v>0</v>
      </c>
      <c r="I154" s="404">
        <f t="shared" si="21"/>
        <v>0</v>
      </c>
      <c r="J154" s="160">
        <f t="shared" si="16"/>
        <v>0</v>
      </c>
      <c r="K154" s="160"/>
      <c r="L154" s="316"/>
      <c r="M154" s="160">
        <f t="shared" si="22"/>
        <v>0</v>
      </c>
      <c r="N154" s="316"/>
      <c r="O154" s="160">
        <f t="shared" si="23"/>
        <v>0</v>
      </c>
      <c r="P154" s="160">
        <f t="shared" si="24"/>
        <v>0</v>
      </c>
      <c r="Q154" s="1"/>
      <c r="R154" s="1"/>
      <c r="S154" s="1"/>
      <c r="T154" s="1"/>
      <c r="U154" s="1"/>
    </row>
    <row r="155" spans="2:21" ht="13.5" thickBot="1">
      <c r="B155" t="str">
        <f t="shared" si="15"/>
        <v/>
      </c>
      <c r="C155" s="166">
        <f>IF(D94="","-",+C154+1)</f>
        <v>2068</v>
      </c>
      <c r="D155" s="399">
        <f>IF(F154+SUM(E$100:E154)=D$93,F154,D$93-SUM(E$100:E154))</f>
        <v>0</v>
      </c>
      <c r="E155" s="405">
        <f t="shared" si="17"/>
        <v>0</v>
      </c>
      <c r="F155" s="167">
        <f t="shared" si="18"/>
        <v>0</v>
      </c>
      <c r="G155" s="167">
        <f t="shared" si="19"/>
        <v>0</v>
      </c>
      <c r="H155" s="406">
        <f t="shared" si="20"/>
        <v>0</v>
      </c>
      <c r="I155" s="407">
        <f t="shared" si="21"/>
        <v>0</v>
      </c>
      <c r="J155" s="171">
        <f t="shared" si="16"/>
        <v>0</v>
      </c>
      <c r="K155" s="160"/>
      <c r="L155" s="317"/>
      <c r="M155" s="171">
        <f t="shared" si="22"/>
        <v>0</v>
      </c>
      <c r="N155" s="317"/>
      <c r="O155" s="171">
        <f t="shared" si="23"/>
        <v>0</v>
      </c>
      <c r="P155" s="171">
        <f t="shared" si="24"/>
        <v>0</v>
      </c>
      <c r="Q155" s="1"/>
      <c r="R155" s="1"/>
      <c r="S155" s="1"/>
      <c r="T155" s="1"/>
      <c r="U155" s="1"/>
    </row>
    <row r="156" spans="2:21">
      <c r="C156" s="156" t="s">
        <v>75</v>
      </c>
      <c r="D156" s="112"/>
      <c r="E156" s="112">
        <f>SUM(E100:E155)</f>
        <v>7210309</v>
      </c>
      <c r="F156" s="112"/>
      <c r="G156" s="112"/>
      <c r="H156" s="112">
        <f>SUM(H100:H155)</f>
        <v>21517601.572374482</v>
      </c>
      <c r="I156" s="112">
        <f>SUM(I100:I155)</f>
        <v>21517601.572374482</v>
      </c>
      <c r="J156" s="112">
        <f>SUM(J100:J155)</f>
        <v>0</v>
      </c>
      <c r="K156" s="112"/>
      <c r="L156" s="112"/>
      <c r="M156" s="112"/>
      <c r="N156" s="112"/>
      <c r="O156" s="112"/>
      <c r="P156" s="1"/>
      <c r="Q156" s="1"/>
      <c r="R156" s="1"/>
      <c r="S156" s="1"/>
      <c r="T156" s="1"/>
      <c r="U156" s="1"/>
    </row>
    <row r="157" spans="2:21">
      <c r="C157" t="s">
        <v>90</v>
      </c>
      <c r="D157" s="2"/>
      <c r="E157" s="1"/>
      <c r="F157" s="1"/>
      <c r="G157" s="1"/>
      <c r="H157" s="1"/>
      <c r="I157" s="3"/>
      <c r="J157" s="3"/>
      <c r="K157" s="112"/>
      <c r="L157" s="3"/>
      <c r="M157" s="3"/>
      <c r="N157" s="3"/>
      <c r="O157" s="3"/>
      <c r="P157" s="1"/>
      <c r="Q157" s="1"/>
      <c r="R157" s="1"/>
      <c r="S157" s="1"/>
      <c r="T157" s="1"/>
      <c r="U157" s="1"/>
    </row>
    <row r="158" spans="2:21">
      <c r="C158" s="215"/>
      <c r="D158" s="2"/>
      <c r="E158" s="1"/>
      <c r="F158" s="1"/>
      <c r="G158" s="1"/>
      <c r="H158" s="1"/>
      <c r="I158" s="3"/>
      <c r="J158" s="3"/>
      <c r="K158" s="112"/>
      <c r="L158" s="3"/>
      <c r="M158" s="3"/>
      <c r="N158" s="3"/>
      <c r="O158" s="3"/>
      <c r="P158" s="1"/>
      <c r="Q158" s="1"/>
      <c r="R158" s="1"/>
      <c r="S158" s="1"/>
      <c r="T158" s="1"/>
      <c r="U158" s="1"/>
    </row>
    <row r="159" spans="2:21">
      <c r="C159" s="245" t="s">
        <v>130</v>
      </c>
      <c r="D159" s="2"/>
      <c r="E159" s="1"/>
      <c r="F159" s="1"/>
      <c r="G159" s="1"/>
      <c r="H159" s="1"/>
      <c r="I159" s="3"/>
      <c r="J159" s="3"/>
      <c r="K159" s="112"/>
      <c r="L159" s="3"/>
      <c r="M159" s="3"/>
      <c r="N159" s="3"/>
      <c r="O159" s="3"/>
      <c r="P159" s="1"/>
      <c r="Q159" s="1"/>
      <c r="R159" s="1"/>
      <c r="S159" s="1"/>
      <c r="T159" s="1"/>
      <c r="U159" s="1"/>
    </row>
    <row r="160" spans="2: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29" priority="1" stopIfTrue="1" operator="equal">
      <formula>$I$10</formula>
    </cfRule>
  </conditionalFormatting>
  <conditionalFormatting sqref="C100:C155">
    <cfRule type="cellIs" dxfId="28"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39997558519241921"/>
  </sheetPr>
  <dimension ref="A1:U163"/>
  <sheetViews>
    <sheetView view="pageBreakPreview" zoomScale="78" zoomScaleNormal="100" zoomScaleSheetLayoutView="78" workbookViewId="0">
      <selection activeCell="E10" sqref="E10"/>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"&amp;RIGHT(MID(CELL("filename",$A$1),FIND("]",CELL("filename",$A$1))+1,256),2)&amp;" of "&amp;COUNT('OKT.001:OKT.xyz - blank'!$P$3)-1</f>
        <v>OKT Project 11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2708399.4041434019</v>
      </c>
      <c r="P5" s="1"/>
      <c r="R5" s="1"/>
      <c r="S5" s="1"/>
      <c r="T5" s="1"/>
      <c r="U5" s="1"/>
    </row>
    <row r="6" spans="1:21" ht="15.75">
      <c r="C6" s="8"/>
      <c r="D6" s="2"/>
      <c r="E6" s="1"/>
      <c r="F6" s="1"/>
      <c r="G6" s="1"/>
      <c r="H6" s="119"/>
      <c r="I6" s="119"/>
      <c r="J6" s="120"/>
      <c r="K6" s="121" t="s">
        <v>243</v>
      </c>
      <c r="L6" s="122"/>
      <c r="M6" s="4"/>
      <c r="N6" s="123">
        <f>VLOOKUP(I10,C17:I73,6)</f>
        <v>2708399.4041434019</v>
      </c>
      <c r="O6" s="1"/>
      <c r="P6" s="1"/>
      <c r="R6" s="1"/>
      <c r="S6" s="1"/>
      <c r="T6" s="1"/>
      <c r="U6" s="1"/>
    </row>
    <row r="7" spans="1:21" ht="13.5" thickBot="1">
      <c r="C7" s="124" t="s">
        <v>46</v>
      </c>
      <c r="D7" s="258" t="s">
        <v>222</v>
      </c>
      <c r="E7" s="1"/>
      <c r="F7" s="1"/>
      <c r="G7" s="1"/>
      <c r="H7" s="3"/>
      <c r="I7" s="3"/>
      <c r="J7" s="112"/>
      <c r="K7" s="125" t="s">
        <v>47</v>
      </c>
      <c r="L7" s="126"/>
      <c r="M7" s="126"/>
      <c r="N7" s="127">
        <f>+N6-N5</f>
        <v>0</v>
      </c>
      <c r="O7" s="1"/>
      <c r="P7" s="1"/>
      <c r="R7" s="1"/>
      <c r="S7" s="1"/>
      <c r="T7" s="1"/>
      <c r="U7" s="1"/>
    </row>
    <row r="8" spans="1:21" ht="13.5" thickBot="1">
      <c r="C8" s="128"/>
      <c r="D8" s="383" t="s">
        <v>230</v>
      </c>
      <c r="E8" s="129"/>
      <c r="F8" s="129"/>
      <c r="G8" s="129"/>
      <c r="H8" s="129"/>
      <c r="I8" s="129"/>
      <c r="J8" s="102"/>
      <c r="K8" s="129"/>
      <c r="L8" s="129"/>
      <c r="M8" s="129"/>
      <c r="N8" s="129"/>
      <c r="O8" s="102"/>
      <c r="P8" s="23"/>
      <c r="R8" s="1"/>
      <c r="S8" s="1"/>
      <c r="T8" s="1"/>
      <c r="U8" s="1"/>
    </row>
    <row r="9" spans="1:21" ht="13.5" thickBot="1">
      <c r="C9" s="130" t="s">
        <v>48</v>
      </c>
      <c r="D9" s="224" t="s">
        <v>221</v>
      </c>
      <c r="E9" s="131"/>
      <c r="F9" s="131"/>
      <c r="G9" s="131"/>
      <c r="H9" s="131"/>
      <c r="I9" s="132"/>
      <c r="J9" s="133"/>
      <c r="O9" s="134"/>
      <c r="P9" s="4"/>
      <c r="R9" s="1"/>
      <c r="S9" s="1"/>
      <c r="T9" s="1"/>
      <c r="U9" s="1"/>
    </row>
    <row r="10" spans="1:21">
      <c r="C10" s="135" t="s">
        <v>49</v>
      </c>
      <c r="D10" s="136">
        <v>20249060</v>
      </c>
      <c r="E10" s="63" t="s">
        <v>50</v>
      </c>
      <c r="F10" s="134"/>
      <c r="G10" s="137"/>
      <c r="H10" s="137"/>
      <c r="I10" s="138">
        <f>+OKT.WS.F.BPU.ATRR.Projected!R100</f>
        <v>2018</v>
      </c>
      <c r="J10" s="133"/>
      <c r="K10" s="112" t="s">
        <v>51</v>
      </c>
      <c r="O10" s="4"/>
      <c r="P10" s="4"/>
      <c r="R10" s="1"/>
      <c r="S10" s="1"/>
      <c r="T10" s="1"/>
      <c r="U10" s="1"/>
    </row>
    <row r="11" spans="1:21">
      <c r="C11" s="139" t="s">
        <v>52</v>
      </c>
      <c r="D11" s="140">
        <v>2014</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11</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496599.73110306234</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155">
        <f>IF(D11= "","-",D11)</f>
        <v>2014</v>
      </c>
      <c r="D17" s="392">
        <v>19043679.66</v>
      </c>
      <c r="E17" s="400">
        <v>27453.384639991029</v>
      </c>
      <c r="F17" s="392">
        <v>19016226.275360011</v>
      </c>
      <c r="G17" s="400">
        <v>376170.81030765898</v>
      </c>
      <c r="H17" s="398">
        <v>376170.81030765898</v>
      </c>
      <c r="I17" s="342">
        <v>0</v>
      </c>
      <c r="J17" s="158"/>
      <c r="K17" s="318">
        <f>G17</f>
        <v>376170.81030765898</v>
      </c>
      <c r="L17" s="340">
        <f>IF(K17&lt;&gt;0,+G17-K17,0)</f>
        <v>0</v>
      </c>
      <c r="M17" s="318">
        <f>H17</f>
        <v>376170.81030765898</v>
      </c>
      <c r="N17" s="159">
        <f>IF(M17&lt;&gt;0,+H17-M17,0)</f>
        <v>0</v>
      </c>
      <c r="O17" s="160">
        <f>+N17-L17</f>
        <v>0</v>
      </c>
      <c r="P17" s="4"/>
      <c r="R17" s="1"/>
      <c r="S17" s="1"/>
      <c r="T17" s="1"/>
      <c r="U17" s="1"/>
    </row>
    <row r="18" spans="2:21">
      <c r="B18" t="str">
        <f t="shared" si="0"/>
        <v/>
      </c>
      <c r="C18" s="155">
        <f>IF(D11="","-",+C17+1)</f>
        <v>2015</v>
      </c>
      <c r="D18" s="394">
        <v>19016226.275360011</v>
      </c>
      <c r="E18" s="393">
        <v>329440.61567989236</v>
      </c>
      <c r="F18" s="394">
        <v>18686785.659680117</v>
      </c>
      <c r="G18" s="393">
        <v>2255402.3674066337</v>
      </c>
      <c r="H18" s="398">
        <v>2255402.3674066337</v>
      </c>
      <c r="I18" s="158">
        <v>0</v>
      </c>
      <c r="J18" s="158"/>
      <c r="K18" s="344">
        <f>G18</f>
        <v>2255402.3674066337</v>
      </c>
      <c r="L18" s="345">
        <f>IF(K18&lt;&gt;0,+G18-K18,0)</f>
        <v>0</v>
      </c>
      <c r="M18" s="344">
        <f>H18</f>
        <v>2255402.3674066337</v>
      </c>
      <c r="N18" s="160">
        <f>IF(M18&lt;&gt;0,+H18-M18,0)</f>
        <v>0</v>
      </c>
      <c r="O18" s="160">
        <f>+N18-L18</f>
        <v>0</v>
      </c>
      <c r="P18" s="4"/>
      <c r="R18" s="1"/>
      <c r="S18" s="1"/>
      <c r="T18" s="1"/>
      <c r="U18" s="1"/>
    </row>
    <row r="19" spans="2:21">
      <c r="B19" t="str">
        <f t="shared" si="0"/>
        <v>IU</v>
      </c>
      <c r="C19" s="155">
        <f>IF(D11="","-",+C18+1)</f>
        <v>2016</v>
      </c>
      <c r="D19" s="394">
        <v>19821118.999680117</v>
      </c>
      <c r="E19" s="393">
        <v>419288.09601556091</v>
      </c>
      <c r="F19" s="394">
        <v>19401830.903664555</v>
      </c>
      <c r="G19" s="393">
        <v>2512364.7940132553</v>
      </c>
      <c r="H19" s="398">
        <v>2512364.7940132553</v>
      </c>
      <c r="I19" s="158">
        <f>H19-G19</f>
        <v>0</v>
      </c>
      <c r="J19" s="158"/>
      <c r="K19" s="344">
        <f>G19</f>
        <v>2512364.7940132553</v>
      </c>
      <c r="L19" s="345">
        <f>IF(K19&lt;&gt;0,+G19-K19,0)</f>
        <v>0</v>
      </c>
      <c r="M19" s="344">
        <f>H19</f>
        <v>2512364.7940132553</v>
      </c>
      <c r="N19" s="160">
        <f t="shared" ref="N19:N73" si="1">IF(M19&lt;&gt;0,+H19-M19,0)</f>
        <v>0</v>
      </c>
      <c r="O19" s="160">
        <f t="shared" ref="O19:O73" si="2">+N19-L19</f>
        <v>0</v>
      </c>
      <c r="P19" s="4"/>
      <c r="R19" s="1"/>
      <c r="S19" s="1"/>
      <c r="T19" s="1"/>
      <c r="U19" s="1"/>
    </row>
    <row r="20" spans="2:21">
      <c r="B20" t="str">
        <f t="shared" si="0"/>
        <v>IU</v>
      </c>
      <c r="C20" s="155">
        <f>IF(D11="","-",+C19+1)</f>
        <v>2017</v>
      </c>
      <c r="D20" s="394">
        <v>19471877.903664555</v>
      </c>
      <c r="E20" s="393">
        <v>398116.94637922302</v>
      </c>
      <c r="F20" s="394">
        <v>19073760.957285333</v>
      </c>
      <c r="G20" s="393">
        <v>2516970.1817795802</v>
      </c>
      <c r="H20" s="398">
        <v>2516970.1817795802</v>
      </c>
      <c r="I20" s="158">
        <f t="shared" ref="I20:I73" si="3">H20-G20</f>
        <v>0</v>
      </c>
      <c r="J20" s="158"/>
      <c r="K20" s="344">
        <f>G20</f>
        <v>2516970.1817795802</v>
      </c>
      <c r="L20" s="345">
        <f>IF(K20&lt;&gt;0,+G20-K20,0)</f>
        <v>0</v>
      </c>
      <c r="M20" s="344">
        <f>H20</f>
        <v>2516970.1817795802</v>
      </c>
      <c r="N20" s="160">
        <f>IF(M20&lt;&gt;0,+H20-M20,0)</f>
        <v>0</v>
      </c>
      <c r="O20" s="160">
        <f>+N20-L20</f>
        <v>0</v>
      </c>
      <c r="P20" s="4"/>
      <c r="R20" s="1"/>
      <c r="S20" s="1"/>
      <c r="T20" s="1"/>
      <c r="U20" s="1"/>
    </row>
    <row r="21" spans="2:21">
      <c r="B21" t="str">
        <f t="shared" si="0"/>
        <v/>
      </c>
      <c r="C21" s="155">
        <f>IF(D11="","-",+C20+1)</f>
        <v>2018</v>
      </c>
      <c r="D21" s="394">
        <v>19073760.957285333</v>
      </c>
      <c r="E21" s="393">
        <v>496575.20652112603</v>
      </c>
      <c r="F21" s="394">
        <v>18577185.750764206</v>
      </c>
      <c r="G21" s="393">
        <v>2708399.4041434019</v>
      </c>
      <c r="H21" s="398">
        <v>2708399.4041434019</v>
      </c>
      <c r="I21" s="158">
        <v>0</v>
      </c>
      <c r="J21" s="158"/>
      <c r="K21" s="344">
        <f>G21</f>
        <v>2708399.4041434019</v>
      </c>
      <c r="L21" s="345">
        <f>IF(K21&lt;&gt;0,+G21-K21,0)</f>
        <v>0</v>
      </c>
      <c r="M21" s="344">
        <f>H21</f>
        <v>2708399.4041434019</v>
      </c>
      <c r="N21" s="160">
        <f>IF(M21&lt;&gt;0,+H21-M21,0)</f>
        <v>0</v>
      </c>
      <c r="O21" s="160">
        <f>+N21-L21</f>
        <v>0</v>
      </c>
      <c r="P21" s="4"/>
      <c r="R21" s="1"/>
      <c r="S21" s="1"/>
      <c r="T21" s="1"/>
      <c r="U21" s="1"/>
    </row>
    <row r="22" spans="2:21">
      <c r="B22" t="str">
        <f t="shared" si="0"/>
        <v>IU</v>
      </c>
      <c r="C22" s="155">
        <f>IF(D11="","-",+C21+1)</f>
        <v>2019</v>
      </c>
      <c r="D22" s="164">
        <f>IF(F21+SUM(E$17:E21)=D$10,F21,D$10-SUM(E$17:E21))</f>
        <v>18578185.750764206</v>
      </c>
      <c r="E22" s="162">
        <f t="shared" ref="E22:E73" si="4">IF(+$I$14&lt;F21,$I$14,D22)</f>
        <v>496599.73110306234</v>
      </c>
      <c r="F22" s="161">
        <f t="shared" ref="F22:F73" si="5">+D22-E22</f>
        <v>18081586.019661143</v>
      </c>
      <c r="G22" s="163">
        <f t="shared" ref="G22:G73" si="6">(D22+F22)/2*I$12+E22</f>
        <v>2650196.8480595225</v>
      </c>
      <c r="H22" s="145">
        <f t="shared" ref="H22:H73" si="7">+(D22+F22)/2*I$13+E22</f>
        <v>2650196.8480595225</v>
      </c>
      <c r="I22" s="158">
        <f t="shared" si="3"/>
        <v>0</v>
      </c>
      <c r="J22" s="158"/>
      <c r="K22" s="316"/>
      <c r="L22" s="160">
        <f t="shared" ref="L22:L73" si="8">IF(K22&lt;&gt;0,+G22-K22,0)</f>
        <v>0</v>
      </c>
      <c r="M22" s="316"/>
      <c r="N22" s="160">
        <f t="shared" si="1"/>
        <v>0</v>
      </c>
      <c r="O22" s="160">
        <f t="shared" si="2"/>
        <v>0</v>
      </c>
      <c r="P22" s="4"/>
      <c r="R22" s="1"/>
      <c r="S22" s="1"/>
      <c r="T22" s="1"/>
      <c r="U22" s="1"/>
    </row>
    <row r="23" spans="2:21">
      <c r="B23" t="str">
        <f t="shared" si="0"/>
        <v/>
      </c>
      <c r="C23" s="155">
        <f>IF(D11="","-",+C22+1)</f>
        <v>2020</v>
      </c>
      <c r="D23" s="164">
        <f>IF(F22+SUM(E$17:E22)=D$10,F22,D$10-SUM(E$17:E22))</f>
        <v>18081586.019661143</v>
      </c>
      <c r="E23" s="162">
        <f t="shared" si="4"/>
        <v>496599.73110306234</v>
      </c>
      <c r="F23" s="161">
        <f t="shared" si="5"/>
        <v>17584986.288558081</v>
      </c>
      <c r="G23" s="163">
        <f t="shared" si="6"/>
        <v>2591850.8356575742</v>
      </c>
      <c r="H23" s="145">
        <f t="shared" si="7"/>
        <v>2591850.8356575742</v>
      </c>
      <c r="I23" s="158">
        <f t="shared" si="3"/>
        <v>0</v>
      </c>
      <c r="J23" s="158"/>
      <c r="K23" s="316"/>
      <c r="L23" s="160">
        <f t="shared" si="8"/>
        <v>0</v>
      </c>
      <c r="M23" s="316"/>
      <c r="N23" s="160">
        <f t="shared" si="1"/>
        <v>0</v>
      </c>
      <c r="O23" s="160">
        <f t="shared" si="2"/>
        <v>0</v>
      </c>
      <c r="P23" s="4"/>
      <c r="R23" s="1"/>
      <c r="S23" s="1"/>
      <c r="T23" s="1"/>
      <c r="U23" s="1"/>
    </row>
    <row r="24" spans="2:21">
      <c r="B24" t="str">
        <f t="shared" si="0"/>
        <v/>
      </c>
      <c r="C24" s="155">
        <f>IF(D11="","-",+C23+1)</f>
        <v>2021</v>
      </c>
      <c r="D24" s="164">
        <f>IF(F23+SUM(E$17:E23)=D$10,F23,D$10-SUM(E$17:E23))</f>
        <v>17584986.288558081</v>
      </c>
      <c r="E24" s="162">
        <f t="shared" si="4"/>
        <v>496599.73110306234</v>
      </c>
      <c r="F24" s="161">
        <f t="shared" si="5"/>
        <v>17088386.557455018</v>
      </c>
      <c r="G24" s="163">
        <f t="shared" si="6"/>
        <v>2533504.8232556265</v>
      </c>
      <c r="H24" s="145">
        <f t="shared" si="7"/>
        <v>2533504.8232556265</v>
      </c>
      <c r="I24" s="158">
        <f t="shared" si="3"/>
        <v>0</v>
      </c>
      <c r="J24" s="158"/>
      <c r="K24" s="316"/>
      <c r="L24" s="160">
        <f t="shared" si="8"/>
        <v>0</v>
      </c>
      <c r="M24" s="316"/>
      <c r="N24" s="160">
        <f t="shared" si="1"/>
        <v>0</v>
      </c>
      <c r="O24" s="160">
        <f t="shared" si="2"/>
        <v>0</v>
      </c>
      <c r="P24" s="4"/>
      <c r="R24" s="1"/>
      <c r="S24" s="1"/>
      <c r="T24" s="1"/>
      <c r="U24" s="1"/>
    </row>
    <row r="25" spans="2:21">
      <c r="B25" t="str">
        <f t="shared" si="0"/>
        <v/>
      </c>
      <c r="C25" s="155">
        <f>IF(D11="","-",+C24+1)</f>
        <v>2022</v>
      </c>
      <c r="D25" s="164">
        <f>IF(F24+SUM(E$17:E24)=D$10,F24,D$10-SUM(E$17:E24))</f>
        <v>17088386.557455018</v>
      </c>
      <c r="E25" s="162">
        <f t="shared" si="4"/>
        <v>496599.73110306234</v>
      </c>
      <c r="F25" s="161">
        <f t="shared" si="5"/>
        <v>16591786.826351956</v>
      </c>
      <c r="G25" s="163">
        <f t="shared" si="6"/>
        <v>2475158.8108536787</v>
      </c>
      <c r="H25" s="145">
        <f t="shared" si="7"/>
        <v>2475158.8108536787</v>
      </c>
      <c r="I25" s="158">
        <f t="shared" si="3"/>
        <v>0</v>
      </c>
      <c r="J25" s="158"/>
      <c r="K25" s="316"/>
      <c r="L25" s="160">
        <f t="shared" si="8"/>
        <v>0</v>
      </c>
      <c r="M25" s="316"/>
      <c r="N25" s="160">
        <f t="shared" si="1"/>
        <v>0</v>
      </c>
      <c r="O25" s="160">
        <f t="shared" si="2"/>
        <v>0</v>
      </c>
      <c r="P25" s="4"/>
      <c r="R25" s="1"/>
      <c r="S25" s="1"/>
      <c r="T25" s="1"/>
      <c r="U25" s="1"/>
    </row>
    <row r="26" spans="2:21">
      <c r="B26" t="str">
        <f t="shared" si="0"/>
        <v/>
      </c>
      <c r="C26" s="155">
        <f>IF(D11="","-",+C25+1)</f>
        <v>2023</v>
      </c>
      <c r="D26" s="164">
        <f>IF(F25+SUM(E$17:E25)=D$10,F25,D$10-SUM(E$17:E25))</f>
        <v>16591786.826351956</v>
      </c>
      <c r="E26" s="162">
        <f t="shared" si="4"/>
        <v>496599.73110306234</v>
      </c>
      <c r="F26" s="161">
        <f t="shared" si="5"/>
        <v>16095187.095248893</v>
      </c>
      <c r="G26" s="163">
        <f t="shared" si="6"/>
        <v>2416812.7984517305</v>
      </c>
      <c r="H26" s="145">
        <f t="shared" si="7"/>
        <v>2416812.7984517305</v>
      </c>
      <c r="I26" s="158">
        <f t="shared" si="3"/>
        <v>0</v>
      </c>
      <c r="J26" s="158"/>
      <c r="K26" s="316"/>
      <c r="L26" s="160">
        <f t="shared" si="8"/>
        <v>0</v>
      </c>
      <c r="M26" s="316"/>
      <c r="N26" s="160">
        <f t="shared" si="1"/>
        <v>0</v>
      </c>
      <c r="O26" s="160">
        <f t="shared" si="2"/>
        <v>0</v>
      </c>
      <c r="P26" s="4"/>
      <c r="R26" s="1"/>
      <c r="S26" s="1"/>
      <c r="T26" s="1"/>
      <c r="U26" s="1"/>
    </row>
    <row r="27" spans="2:21">
      <c r="B27" t="str">
        <f t="shared" si="0"/>
        <v/>
      </c>
      <c r="C27" s="155">
        <f>IF(D11="","-",+C26+1)</f>
        <v>2024</v>
      </c>
      <c r="D27" s="164">
        <f>IF(F26+SUM(E$17:E26)=D$10,F26,D$10-SUM(E$17:E26))</f>
        <v>16095187.095248893</v>
      </c>
      <c r="E27" s="162">
        <f t="shared" si="4"/>
        <v>496599.73110306234</v>
      </c>
      <c r="F27" s="161">
        <f t="shared" si="5"/>
        <v>15598587.36414583</v>
      </c>
      <c r="G27" s="163">
        <f t="shared" si="6"/>
        <v>2358466.7860497828</v>
      </c>
      <c r="H27" s="145">
        <f t="shared" si="7"/>
        <v>2358466.7860497828</v>
      </c>
      <c r="I27" s="158">
        <f t="shared" si="3"/>
        <v>0</v>
      </c>
      <c r="J27" s="158"/>
      <c r="K27" s="316"/>
      <c r="L27" s="160">
        <f t="shared" si="8"/>
        <v>0</v>
      </c>
      <c r="M27" s="316"/>
      <c r="N27" s="160">
        <f t="shared" si="1"/>
        <v>0</v>
      </c>
      <c r="O27" s="160">
        <f t="shared" si="2"/>
        <v>0</v>
      </c>
      <c r="P27" s="4"/>
      <c r="R27" s="1"/>
      <c r="S27" s="1"/>
      <c r="T27" s="1"/>
      <c r="U27" s="1"/>
    </row>
    <row r="28" spans="2:21">
      <c r="B28" t="str">
        <f t="shared" si="0"/>
        <v/>
      </c>
      <c r="C28" s="155">
        <f>IF(D11="","-",+C27+1)</f>
        <v>2025</v>
      </c>
      <c r="D28" s="164">
        <f>IF(F27+SUM(E$17:E27)=D$10,F27,D$10-SUM(E$17:E27))</f>
        <v>15598587.36414583</v>
      </c>
      <c r="E28" s="162">
        <f t="shared" si="4"/>
        <v>496599.73110306234</v>
      </c>
      <c r="F28" s="161">
        <f t="shared" si="5"/>
        <v>15101987.633042768</v>
      </c>
      <c r="G28" s="163">
        <f t="shared" si="6"/>
        <v>2300120.773647835</v>
      </c>
      <c r="H28" s="145">
        <f t="shared" si="7"/>
        <v>2300120.773647835</v>
      </c>
      <c r="I28" s="158">
        <f t="shared" si="3"/>
        <v>0</v>
      </c>
      <c r="J28" s="158"/>
      <c r="K28" s="316"/>
      <c r="L28" s="160">
        <f t="shared" si="8"/>
        <v>0</v>
      </c>
      <c r="M28" s="316"/>
      <c r="N28" s="160">
        <f t="shared" si="1"/>
        <v>0</v>
      </c>
      <c r="O28" s="160">
        <f t="shared" si="2"/>
        <v>0</v>
      </c>
      <c r="P28" s="4"/>
      <c r="R28" s="1"/>
      <c r="S28" s="1"/>
      <c r="T28" s="1"/>
      <c r="U28" s="1"/>
    </row>
    <row r="29" spans="2:21">
      <c r="B29" t="str">
        <f t="shared" si="0"/>
        <v/>
      </c>
      <c r="C29" s="155">
        <f>IF(D11="","-",+C28+1)</f>
        <v>2026</v>
      </c>
      <c r="D29" s="164">
        <f>IF(F28+SUM(E$17:E28)=D$10,F28,D$10-SUM(E$17:E28))</f>
        <v>15101987.633042768</v>
      </c>
      <c r="E29" s="162">
        <f t="shared" si="4"/>
        <v>496599.73110306234</v>
      </c>
      <c r="F29" s="161">
        <f t="shared" si="5"/>
        <v>14605387.901939705</v>
      </c>
      <c r="G29" s="163">
        <f t="shared" si="6"/>
        <v>2241774.7612458868</v>
      </c>
      <c r="H29" s="145">
        <f t="shared" si="7"/>
        <v>2241774.7612458868</v>
      </c>
      <c r="I29" s="158">
        <f t="shared" si="3"/>
        <v>0</v>
      </c>
      <c r="J29" s="158"/>
      <c r="K29" s="316"/>
      <c r="L29" s="160">
        <f t="shared" si="8"/>
        <v>0</v>
      </c>
      <c r="M29" s="316"/>
      <c r="N29" s="160">
        <f t="shared" si="1"/>
        <v>0</v>
      </c>
      <c r="O29" s="160">
        <f t="shared" si="2"/>
        <v>0</v>
      </c>
      <c r="P29" s="4"/>
      <c r="R29" s="1"/>
      <c r="S29" s="1"/>
      <c r="T29" s="1"/>
      <c r="U29" s="1"/>
    </row>
    <row r="30" spans="2:21">
      <c r="B30" t="str">
        <f t="shared" si="0"/>
        <v/>
      </c>
      <c r="C30" s="155">
        <f>IF(D11="","-",+C29+1)</f>
        <v>2027</v>
      </c>
      <c r="D30" s="164">
        <f>IF(F29+SUM(E$17:E29)=D$10,F29,D$10-SUM(E$17:E29))</f>
        <v>14605387.901939705</v>
      </c>
      <c r="E30" s="162">
        <f t="shared" si="4"/>
        <v>496599.73110306234</v>
      </c>
      <c r="F30" s="161">
        <f t="shared" si="5"/>
        <v>14108788.170836642</v>
      </c>
      <c r="G30" s="163">
        <f t="shared" si="6"/>
        <v>2183428.748843939</v>
      </c>
      <c r="H30" s="145">
        <f t="shared" si="7"/>
        <v>2183428.748843939</v>
      </c>
      <c r="I30" s="158">
        <f t="shared" si="3"/>
        <v>0</v>
      </c>
      <c r="J30" s="158"/>
      <c r="K30" s="316"/>
      <c r="L30" s="160">
        <f t="shared" si="8"/>
        <v>0</v>
      </c>
      <c r="M30" s="316"/>
      <c r="N30" s="160">
        <f t="shared" si="1"/>
        <v>0</v>
      </c>
      <c r="O30" s="160">
        <f t="shared" si="2"/>
        <v>0</v>
      </c>
      <c r="P30" s="4"/>
      <c r="R30" s="1"/>
      <c r="S30" s="1"/>
      <c r="T30" s="1"/>
      <c r="U30" s="1"/>
    </row>
    <row r="31" spans="2:21">
      <c r="B31" t="str">
        <f t="shared" si="0"/>
        <v/>
      </c>
      <c r="C31" s="155">
        <f>IF(D11="","-",+C30+1)</f>
        <v>2028</v>
      </c>
      <c r="D31" s="164">
        <f>IF(F30+SUM(E$17:E30)=D$10,F30,D$10-SUM(E$17:E30))</f>
        <v>14108788.170836642</v>
      </c>
      <c r="E31" s="162">
        <f t="shared" si="4"/>
        <v>496599.73110306234</v>
      </c>
      <c r="F31" s="161">
        <f t="shared" si="5"/>
        <v>13612188.43973358</v>
      </c>
      <c r="G31" s="163">
        <f t="shared" si="6"/>
        <v>2125082.7364419908</v>
      </c>
      <c r="H31" s="145">
        <f t="shared" si="7"/>
        <v>2125082.7364419908</v>
      </c>
      <c r="I31" s="158">
        <f t="shared" si="3"/>
        <v>0</v>
      </c>
      <c r="J31" s="158"/>
      <c r="K31" s="316"/>
      <c r="L31" s="160">
        <f t="shared" si="8"/>
        <v>0</v>
      </c>
      <c r="M31" s="316"/>
      <c r="N31" s="160">
        <f t="shared" si="1"/>
        <v>0</v>
      </c>
      <c r="O31" s="160">
        <f t="shared" si="2"/>
        <v>0</v>
      </c>
      <c r="P31" s="4"/>
      <c r="Q31" s="7"/>
      <c r="R31" s="4"/>
      <c r="S31" s="4"/>
      <c r="T31" s="4"/>
      <c r="U31" s="1"/>
    </row>
    <row r="32" spans="2:21">
      <c r="B32" t="str">
        <f t="shared" si="0"/>
        <v/>
      </c>
      <c r="C32" s="155">
        <f>IF(D12="","-",+C31+1)</f>
        <v>2029</v>
      </c>
      <c r="D32" s="164">
        <f>IF(F31+SUM(E$17:E31)=D$10,F31,D$10-SUM(E$17:E31))</f>
        <v>13612188.43973358</v>
      </c>
      <c r="E32" s="162">
        <f>IF(+$I$14&lt;F31,$I$14,D32)</f>
        <v>496599.73110306234</v>
      </c>
      <c r="F32" s="161">
        <f>+D32-E32</f>
        <v>13115588.708630517</v>
      </c>
      <c r="G32" s="163">
        <f t="shared" si="6"/>
        <v>2066736.7240400433</v>
      </c>
      <c r="H32" s="145">
        <f t="shared" si="7"/>
        <v>2066736.7240400433</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2030</v>
      </c>
      <c r="D33" s="164">
        <f>IF(F32+SUM(E$17:E32)=D$10,F32,D$10-SUM(E$17:E32))</f>
        <v>13115588.708630517</v>
      </c>
      <c r="E33" s="162">
        <f>IF(+$I$14&lt;F32,$I$14,D33)</f>
        <v>496599.73110306234</v>
      </c>
      <c r="F33" s="161">
        <f>+D33-E33</f>
        <v>12618988.977527454</v>
      </c>
      <c r="G33" s="163">
        <f t="shared" si="6"/>
        <v>2008390.7116380953</v>
      </c>
      <c r="H33" s="145">
        <f t="shared" si="7"/>
        <v>2008390.7116380953</v>
      </c>
      <c r="I33" s="158">
        <f>H33-G33</f>
        <v>0</v>
      </c>
      <c r="J33" s="158"/>
      <c r="K33" s="316"/>
      <c r="L33" s="160">
        <f>IF(K33&lt;&gt;0,+G33-K33,0)</f>
        <v>0</v>
      </c>
      <c r="M33" s="316"/>
      <c r="N33" s="160">
        <f>IF(M33&lt;&gt;0,+H33-M33,0)</f>
        <v>0</v>
      </c>
      <c r="O33" s="160">
        <f>+N33-L33</f>
        <v>0</v>
      </c>
      <c r="P33" s="4"/>
      <c r="R33" s="1"/>
      <c r="S33" s="1"/>
      <c r="T33" s="1"/>
      <c r="U33" s="1"/>
    </row>
    <row r="34" spans="2:21">
      <c r="B34" t="str">
        <f t="shared" si="0"/>
        <v/>
      </c>
      <c r="C34" s="422">
        <f>IF(D11="","-",+C33+1)</f>
        <v>2031</v>
      </c>
      <c r="D34" s="431">
        <f>IF(F33+SUM(E$17:E33)=D$10,F33,D$10-SUM(E$17:E33))</f>
        <v>12618988.977527454</v>
      </c>
      <c r="E34" s="424">
        <f t="shared" si="4"/>
        <v>496599.73110306234</v>
      </c>
      <c r="F34" s="423">
        <f t="shared" si="5"/>
        <v>12122389.246424392</v>
      </c>
      <c r="G34" s="163">
        <f t="shared" si="6"/>
        <v>1950044.6992361473</v>
      </c>
      <c r="H34" s="145">
        <f t="shared" si="7"/>
        <v>1950044.6992361473</v>
      </c>
      <c r="I34" s="427">
        <f t="shared" si="3"/>
        <v>0</v>
      </c>
      <c r="J34" s="427"/>
      <c r="K34" s="428"/>
      <c r="L34" s="429">
        <f t="shared" si="8"/>
        <v>0</v>
      </c>
      <c r="M34" s="428"/>
      <c r="N34" s="429">
        <f t="shared" si="1"/>
        <v>0</v>
      </c>
      <c r="O34" s="429">
        <f t="shared" si="2"/>
        <v>0</v>
      </c>
      <c r="P34" s="430"/>
      <c r="Q34" s="290"/>
      <c r="R34" s="430"/>
      <c r="S34" s="430"/>
      <c r="T34" s="430"/>
      <c r="U34" s="1"/>
    </row>
    <row r="35" spans="2:21">
      <c r="B35" t="str">
        <f t="shared" si="0"/>
        <v/>
      </c>
      <c r="C35" s="155">
        <f>IF(D11="","-",+C34+1)</f>
        <v>2032</v>
      </c>
      <c r="D35" s="164">
        <f>IF(F34+SUM(E$17:E34)=D$10,F34,D$10-SUM(E$17:E34))</f>
        <v>12122389.246424392</v>
      </c>
      <c r="E35" s="162">
        <f t="shared" si="4"/>
        <v>496599.73110306234</v>
      </c>
      <c r="F35" s="161">
        <f t="shared" si="5"/>
        <v>11625789.515321329</v>
      </c>
      <c r="G35" s="163">
        <f t="shared" si="6"/>
        <v>1891698.6868341994</v>
      </c>
      <c r="H35" s="145">
        <f t="shared" si="7"/>
        <v>1891698.6868341994</v>
      </c>
      <c r="I35" s="158">
        <f t="shared" si="3"/>
        <v>0</v>
      </c>
      <c r="J35" s="158"/>
      <c r="K35" s="316"/>
      <c r="L35" s="160">
        <f t="shared" si="8"/>
        <v>0</v>
      </c>
      <c r="M35" s="316"/>
      <c r="N35" s="160">
        <f t="shared" si="1"/>
        <v>0</v>
      </c>
      <c r="O35" s="160">
        <f t="shared" si="2"/>
        <v>0</v>
      </c>
      <c r="P35" s="4"/>
      <c r="R35" s="1"/>
      <c r="S35" s="1"/>
      <c r="T35" s="1"/>
      <c r="U35" s="1"/>
    </row>
    <row r="36" spans="2:21">
      <c r="B36" t="str">
        <f t="shared" si="0"/>
        <v/>
      </c>
      <c r="C36" s="155">
        <f>IF(D11="","-",+C35+1)</f>
        <v>2033</v>
      </c>
      <c r="D36" s="164">
        <f>IF(F35+SUM(E$17:E35)=D$10,F35,D$10-SUM(E$17:E35))</f>
        <v>11625789.515321329</v>
      </c>
      <c r="E36" s="162">
        <f t="shared" si="4"/>
        <v>496599.73110306234</v>
      </c>
      <c r="F36" s="161">
        <f t="shared" si="5"/>
        <v>11129189.784218267</v>
      </c>
      <c r="G36" s="163">
        <f t="shared" si="6"/>
        <v>1833352.6744322516</v>
      </c>
      <c r="H36" s="145">
        <f t="shared" si="7"/>
        <v>1833352.6744322516</v>
      </c>
      <c r="I36" s="158">
        <f t="shared" si="3"/>
        <v>0</v>
      </c>
      <c r="J36" s="158"/>
      <c r="K36" s="316"/>
      <c r="L36" s="160">
        <f t="shared" si="8"/>
        <v>0</v>
      </c>
      <c r="M36" s="316"/>
      <c r="N36" s="160">
        <f t="shared" si="1"/>
        <v>0</v>
      </c>
      <c r="O36" s="160">
        <f t="shared" si="2"/>
        <v>0</v>
      </c>
      <c r="P36" s="4"/>
      <c r="R36" s="1"/>
      <c r="S36" s="1"/>
      <c r="T36" s="1"/>
      <c r="U36" s="1"/>
    </row>
    <row r="37" spans="2:21">
      <c r="B37" t="str">
        <f t="shared" si="0"/>
        <v/>
      </c>
      <c r="C37" s="155">
        <f>IF(D11="","-",+C36+1)</f>
        <v>2034</v>
      </c>
      <c r="D37" s="164">
        <f>IF(F36+SUM(E$17:E36)=D$10,F36,D$10-SUM(E$17:E36))</f>
        <v>11129189.784218267</v>
      </c>
      <c r="E37" s="162">
        <f t="shared" si="4"/>
        <v>496599.73110306234</v>
      </c>
      <c r="F37" s="161">
        <f t="shared" si="5"/>
        <v>10632590.053115204</v>
      </c>
      <c r="G37" s="163">
        <f t="shared" si="6"/>
        <v>1775006.6620303036</v>
      </c>
      <c r="H37" s="145">
        <f t="shared" si="7"/>
        <v>1775006.6620303036</v>
      </c>
      <c r="I37" s="158">
        <f t="shared" si="3"/>
        <v>0</v>
      </c>
      <c r="J37" s="158"/>
      <c r="K37" s="316"/>
      <c r="L37" s="160">
        <f t="shared" si="8"/>
        <v>0</v>
      </c>
      <c r="M37" s="316"/>
      <c r="N37" s="160">
        <f t="shared" si="1"/>
        <v>0</v>
      </c>
      <c r="O37" s="160">
        <f t="shared" si="2"/>
        <v>0</v>
      </c>
      <c r="P37" s="4"/>
      <c r="R37" s="1"/>
      <c r="S37" s="1"/>
      <c r="T37" s="1"/>
      <c r="U37" s="1"/>
    </row>
    <row r="38" spans="2:21">
      <c r="B38" t="str">
        <f t="shared" si="0"/>
        <v/>
      </c>
      <c r="C38" s="155">
        <f>IF(D11="","-",+C37+1)</f>
        <v>2035</v>
      </c>
      <c r="D38" s="164">
        <f>IF(F37+SUM(E$17:E37)=D$10,F37,D$10-SUM(E$17:E37))</f>
        <v>10632590.053115204</v>
      </c>
      <c r="E38" s="162">
        <f t="shared" si="4"/>
        <v>496599.73110306234</v>
      </c>
      <c r="F38" s="161">
        <f t="shared" si="5"/>
        <v>10135990.322012141</v>
      </c>
      <c r="G38" s="163">
        <f t="shared" si="6"/>
        <v>1716660.6496283556</v>
      </c>
      <c r="H38" s="145">
        <f t="shared" si="7"/>
        <v>1716660.6496283556</v>
      </c>
      <c r="I38" s="158">
        <f t="shared" si="3"/>
        <v>0</v>
      </c>
      <c r="J38" s="158"/>
      <c r="K38" s="316"/>
      <c r="L38" s="160">
        <f t="shared" si="8"/>
        <v>0</v>
      </c>
      <c r="M38" s="316"/>
      <c r="N38" s="160">
        <f t="shared" si="1"/>
        <v>0</v>
      </c>
      <c r="O38" s="160">
        <f t="shared" si="2"/>
        <v>0</v>
      </c>
      <c r="P38" s="4"/>
      <c r="R38" s="1"/>
      <c r="S38" s="1"/>
      <c r="T38" s="1"/>
      <c r="U38" s="1"/>
    </row>
    <row r="39" spans="2:21">
      <c r="B39" t="str">
        <f t="shared" si="0"/>
        <v/>
      </c>
      <c r="C39" s="155">
        <f>IF(D11="","-",+C38+1)</f>
        <v>2036</v>
      </c>
      <c r="D39" s="164">
        <f>IF(F38+SUM(E$17:E38)=D$10,F38,D$10-SUM(E$17:E38))</f>
        <v>10135990.322012141</v>
      </c>
      <c r="E39" s="162">
        <f t="shared" si="4"/>
        <v>496599.73110306234</v>
      </c>
      <c r="F39" s="161">
        <f t="shared" si="5"/>
        <v>9639390.5909090787</v>
      </c>
      <c r="G39" s="163">
        <f t="shared" si="6"/>
        <v>1658314.6372264076</v>
      </c>
      <c r="H39" s="145">
        <f t="shared" si="7"/>
        <v>1658314.6372264076</v>
      </c>
      <c r="I39" s="158">
        <f t="shared" si="3"/>
        <v>0</v>
      </c>
      <c r="J39" s="158"/>
      <c r="K39" s="316"/>
      <c r="L39" s="160">
        <f t="shared" si="8"/>
        <v>0</v>
      </c>
      <c r="M39" s="316"/>
      <c r="N39" s="160">
        <f t="shared" si="1"/>
        <v>0</v>
      </c>
      <c r="O39" s="160">
        <f t="shared" si="2"/>
        <v>0</v>
      </c>
      <c r="P39" s="4"/>
      <c r="R39" s="1"/>
      <c r="S39" s="1"/>
      <c r="T39" s="1"/>
      <c r="U39" s="1"/>
    </row>
    <row r="40" spans="2:21">
      <c r="B40" t="str">
        <f t="shared" si="0"/>
        <v/>
      </c>
      <c r="C40" s="155">
        <f>IF(D11="","-",+C39+1)</f>
        <v>2037</v>
      </c>
      <c r="D40" s="164">
        <f>IF(F39+SUM(E$17:E39)=D$10,F39,D$10-SUM(E$17:E39))</f>
        <v>9639390.5909090787</v>
      </c>
      <c r="E40" s="162">
        <f t="shared" si="4"/>
        <v>496599.73110306234</v>
      </c>
      <c r="F40" s="161">
        <f t="shared" si="5"/>
        <v>9142790.8598060161</v>
      </c>
      <c r="G40" s="163">
        <f t="shared" si="6"/>
        <v>1599968.6248244599</v>
      </c>
      <c r="H40" s="145">
        <f t="shared" si="7"/>
        <v>1599968.6248244599</v>
      </c>
      <c r="I40" s="158">
        <f t="shared" si="3"/>
        <v>0</v>
      </c>
      <c r="J40" s="158"/>
      <c r="K40" s="316"/>
      <c r="L40" s="160">
        <f t="shared" si="8"/>
        <v>0</v>
      </c>
      <c r="M40" s="316"/>
      <c r="N40" s="160">
        <f t="shared" si="1"/>
        <v>0</v>
      </c>
      <c r="O40" s="160">
        <f t="shared" si="2"/>
        <v>0</v>
      </c>
      <c r="P40" s="4"/>
      <c r="R40" s="1"/>
      <c r="S40" s="1"/>
      <c r="T40" s="1"/>
      <c r="U40" s="1"/>
    </row>
    <row r="41" spans="2:21">
      <c r="B41" t="str">
        <f t="shared" si="0"/>
        <v/>
      </c>
      <c r="C41" s="155">
        <f>IF(D12="","-",+C40+1)</f>
        <v>2038</v>
      </c>
      <c r="D41" s="164">
        <f>IF(F40+SUM(E$17:E40)=D$10,F40,D$10-SUM(E$17:E40))</f>
        <v>9142790.8598060161</v>
      </c>
      <c r="E41" s="162">
        <f t="shared" si="4"/>
        <v>496599.73110306234</v>
      </c>
      <c r="F41" s="161">
        <f t="shared" si="5"/>
        <v>8646191.1287029535</v>
      </c>
      <c r="G41" s="163">
        <f t="shared" si="6"/>
        <v>1541622.6124225117</v>
      </c>
      <c r="H41" s="145">
        <f t="shared" si="7"/>
        <v>1541622.6124225117</v>
      </c>
      <c r="I41" s="158">
        <f t="shared" si="3"/>
        <v>0</v>
      </c>
      <c r="J41" s="158"/>
      <c r="K41" s="316"/>
      <c r="L41" s="160">
        <f t="shared" si="8"/>
        <v>0</v>
      </c>
      <c r="M41" s="316"/>
      <c r="N41" s="160">
        <f t="shared" si="1"/>
        <v>0</v>
      </c>
      <c r="O41" s="160">
        <f t="shared" si="2"/>
        <v>0</v>
      </c>
      <c r="P41" s="4"/>
      <c r="R41" s="1"/>
      <c r="S41" s="1"/>
      <c r="T41" s="1"/>
      <c r="U41" s="1"/>
    </row>
    <row r="42" spans="2:21">
      <c r="B42" t="str">
        <f t="shared" si="0"/>
        <v/>
      </c>
      <c r="C42" s="155">
        <f>IF(D13="","-",+C41+1)</f>
        <v>2039</v>
      </c>
      <c r="D42" s="164">
        <f>IF(F41+SUM(E$17:E41)=D$10,F41,D$10-SUM(E$17:E41))</f>
        <v>8646191.1287029535</v>
      </c>
      <c r="E42" s="162">
        <f t="shared" si="4"/>
        <v>496599.73110306234</v>
      </c>
      <c r="F42" s="161">
        <f t="shared" si="5"/>
        <v>8149591.3975998908</v>
      </c>
      <c r="G42" s="163">
        <f t="shared" si="6"/>
        <v>1483276.6000205639</v>
      </c>
      <c r="H42" s="145">
        <f t="shared" si="7"/>
        <v>1483276.6000205639</v>
      </c>
      <c r="I42" s="158">
        <f t="shared" si="3"/>
        <v>0</v>
      </c>
      <c r="J42" s="158"/>
      <c r="K42" s="316"/>
      <c r="L42" s="160">
        <f t="shared" si="8"/>
        <v>0</v>
      </c>
      <c r="M42" s="316"/>
      <c r="N42" s="160">
        <f t="shared" si="1"/>
        <v>0</v>
      </c>
      <c r="O42" s="160">
        <f t="shared" si="2"/>
        <v>0</v>
      </c>
      <c r="P42" s="4"/>
      <c r="R42" s="1"/>
      <c r="S42" s="1"/>
      <c r="T42" s="1"/>
      <c r="U42" s="1"/>
    </row>
    <row r="43" spans="2:21">
      <c r="B43" t="str">
        <f t="shared" si="0"/>
        <v/>
      </c>
      <c r="C43" s="155">
        <f>IF(D11="","-",+C42+1)</f>
        <v>2040</v>
      </c>
      <c r="D43" s="164">
        <f>IF(F42+SUM(E$17:E42)=D$10,F42,D$10-SUM(E$17:E42))</f>
        <v>8149591.3975998908</v>
      </c>
      <c r="E43" s="162">
        <f t="shared" si="4"/>
        <v>496599.73110306234</v>
      </c>
      <c r="F43" s="161">
        <f t="shared" si="5"/>
        <v>7652991.6664968282</v>
      </c>
      <c r="G43" s="163">
        <f t="shared" si="6"/>
        <v>1424930.5876186159</v>
      </c>
      <c r="H43" s="145">
        <f t="shared" si="7"/>
        <v>1424930.5876186159</v>
      </c>
      <c r="I43" s="158">
        <f t="shared" si="3"/>
        <v>0</v>
      </c>
      <c r="J43" s="158"/>
      <c r="K43" s="316"/>
      <c r="L43" s="160">
        <f t="shared" si="8"/>
        <v>0</v>
      </c>
      <c r="M43" s="316"/>
      <c r="N43" s="160">
        <f t="shared" si="1"/>
        <v>0</v>
      </c>
      <c r="O43" s="160">
        <f t="shared" si="2"/>
        <v>0</v>
      </c>
      <c r="P43" s="4"/>
      <c r="R43" s="1"/>
      <c r="S43" s="1"/>
      <c r="T43" s="1"/>
      <c r="U43" s="1"/>
    </row>
    <row r="44" spans="2:21">
      <c r="B44" t="str">
        <f t="shared" si="0"/>
        <v/>
      </c>
      <c r="C44" s="155">
        <f>IF(D11="","-",+C43+1)</f>
        <v>2041</v>
      </c>
      <c r="D44" s="164">
        <f>IF(F43+SUM(E$17:E43)=D$10,F43,D$10-SUM(E$17:E43))</f>
        <v>7652991.6664968282</v>
      </c>
      <c r="E44" s="162">
        <f t="shared" si="4"/>
        <v>496599.73110306234</v>
      </c>
      <c r="F44" s="161">
        <f t="shared" si="5"/>
        <v>7156391.9353937656</v>
      </c>
      <c r="G44" s="163">
        <f t="shared" si="6"/>
        <v>1366584.575216668</v>
      </c>
      <c r="H44" s="145">
        <f t="shared" si="7"/>
        <v>1366584.575216668</v>
      </c>
      <c r="I44" s="158">
        <f t="shared" si="3"/>
        <v>0</v>
      </c>
      <c r="J44" s="158"/>
      <c r="K44" s="316"/>
      <c r="L44" s="160">
        <f t="shared" si="8"/>
        <v>0</v>
      </c>
      <c r="M44" s="316"/>
      <c r="N44" s="160">
        <f t="shared" si="1"/>
        <v>0</v>
      </c>
      <c r="O44" s="160">
        <f t="shared" si="2"/>
        <v>0</v>
      </c>
      <c r="P44" s="4"/>
      <c r="R44" s="1"/>
      <c r="S44" s="1"/>
      <c r="T44" s="1"/>
      <c r="U44" s="1"/>
    </row>
    <row r="45" spans="2:21">
      <c r="B45" t="str">
        <f t="shared" si="0"/>
        <v/>
      </c>
      <c r="C45" s="155">
        <f>IF(D11="","-",+C44+1)</f>
        <v>2042</v>
      </c>
      <c r="D45" s="164">
        <f>IF(F44+SUM(E$17:E44)=D$10,F44,D$10-SUM(E$17:E44))</f>
        <v>7156391.9353937656</v>
      </c>
      <c r="E45" s="162">
        <f t="shared" si="4"/>
        <v>496599.73110306234</v>
      </c>
      <c r="F45" s="161">
        <f t="shared" si="5"/>
        <v>6659792.2042907029</v>
      </c>
      <c r="G45" s="163">
        <f t="shared" si="6"/>
        <v>1308238.56281472</v>
      </c>
      <c r="H45" s="145">
        <f t="shared" si="7"/>
        <v>1308238.56281472</v>
      </c>
      <c r="I45" s="158">
        <f t="shared" si="3"/>
        <v>0</v>
      </c>
      <c r="J45" s="158"/>
      <c r="K45" s="316"/>
      <c r="L45" s="160">
        <f t="shared" si="8"/>
        <v>0</v>
      </c>
      <c r="M45" s="316"/>
      <c r="N45" s="160">
        <f t="shared" si="1"/>
        <v>0</v>
      </c>
      <c r="O45" s="160">
        <f t="shared" si="2"/>
        <v>0</v>
      </c>
      <c r="P45" s="4"/>
      <c r="R45" s="1"/>
      <c r="S45" s="1"/>
      <c r="T45" s="1"/>
      <c r="U45" s="1"/>
    </row>
    <row r="46" spans="2:21">
      <c r="B46" t="str">
        <f t="shared" si="0"/>
        <v/>
      </c>
      <c r="C46" s="155">
        <f>IF(D11="","-",+C45+1)</f>
        <v>2043</v>
      </c>
      <c r="D46" s="164">
        <f>IF(F45+SUM(E$17:E45)=D$10,F45,D$10-SUM(E$17:E45))</f>
        <v>6659792.2042907029</v>
      </c>
      <c r="E46" s="162">
        <f t="shared" si="4"/>
        <v>496599.73110306234</v>
      </c>
      <c r="F46" s="161">
        <f t="shared" si="5"/>
        <v>6163192.4731876403</v>
      </c>
      <c r="G46" s="163">
        <f t="shared" si="6"/>
        <v>1249892.5504127722</v>
      </c>
      <c r="H46" s="145">
        <f t="shared" si="7"/>
        <v>1249892.5504127722</v>
      </c>
      <c r="I46" s="158">
        <f t="shared" si="3"/>
        <v>0</v>
      </c>
      <c r="J46" s="158"/>
      <c r="K46" s="316"/>
      <c r="L46" s="160">
        <f t="shared" si="8"/>
        <v>0</v>
      </c>
      <c r="M46" s="316"/>
      <c r="N46" s="160">
        <f t="shared" si="1"/>
        <v>0</v>
      </c>
      <c r="O46" s="160">
        <f t="shared" si="2"/>
        <v>0</v>
      </c>
      <c r="P46" s="4"/>
      <c r="R46" s="1"/>
      <c r="S46" s="1"/>
      <c r="T46" s="1"/>
      <c r="U46" s="1"/>
    </row>
    <row r="47" spans="2:21">
      <c r="B47" t="str">
        <f t="shared" si="0"/>
        <v/>
      </c>
      <c r="C47" s="155">
        <f>IF(D11="","-",+C46+1)</f>
        <v>2044</v>
      </c>
      <c r="D47" s="164">
        <f>IF(F46+SUM(E$17:E46)=D$10,F46,D$10-SUM(E$17:E46))</f>
        <v>6163192.4731876403</v>
      </c>
      <c r="E47" s="162">
        <f t="shared" si="4"/>
        <v>496599.73110306234</v>
      </c>
      <c r="F47" s="161">
        <f t="shared" si="5"/>
        <v>5666592.7420845777</v>
      </c>
      <c r="G47" s="163">
        <f t="shared" si="6"/>
        <v>1191546.5380108242</v>
      </c>
      <c r="H47" s="145">
        <f t="shared" si="7"/>
        <v>1191546.5380108242</v>
      </c>
      <c r="I47" s="158">
        <f t="shared" si="3"/>
        <v>0</v>
      </c>
      <c r="J47" s="158"/>
      <c r="K47" s="316"/>
      <c r="L47" s="160">
        <f t="shared" si="8"/>
        <v>0</v>
      </c>
      <c r="M47" s="316"/>
      <c r="N47" s="160">
        <f t="shared" si="1"/>
        <v>0</v>
      </c>
      <c r="O47" s="160">
        <f t="shared" si="2"/>
        <v>0</v>
      </c>
      <c r="P47" s="4"/>
      <c r="R47" s="1"/>
      <c r="S47" s="1"/>
      <c r="T47" s="1"/>
      <c r="U47" s="1"/>
    </row>
    <row r="48" spans="2:21">
      <c r="B48" t="str">
        <f t="shared" si="0"/>
        <v/>
      </c>
      <c r="C48" s="155">
        <f>IF(D11="","-",+C47+1)</f>
        <v>2045</v>
      </c>
      <c r="D48" s="164">
        <f>IF(F47+SUM(E$17:E47)=D$10,F47,D$10-SUM(E$17:E47))</f>
        <v>5666592.7420845777</v>
      </c>
      <c r="E48" s="162">
        <f t="shared" si="4"/>
        <v>496599.73110306234</v>
      </c>
      <c r="F48" s="161">
        <f t="shared" si="5"/>
        <v>5169993.010981515</v>
      </c>
      <c r="G48" s="163">
        <f t="shared" si="6"/>
        <v>1133200.5256088763</v>
      </c>
      <c r="H48" s="145">
        <f t="shared" si="7"/>
        <v>1133200.5256088763</v>
      </c>
      <c r="I48" s="158">
        <f t="shared" si="3"/>
        <v>0</v>
      </c>
      <c r="J48" s="158"/>
      <c r="K48" s="316"/>
      <c r="L48" s="160">
        <f t="shared" si="8"/>
        <v>0</v>
      </c>
      <c r="M48" s="316"/>
      <c r="N48" s="160">
        <f t="shared" si="1"/>
        <v>0</v>
      </c>
      <c r="O48" s="160">
        <f t="shared" si="2"/>
        <v>0</v>
      </c>
      <c r="P48" s="4"/>
      <c r="R48" s="1"/>
      <c r="S48" s="1"/>
      <c r="T48" s="1"/>
      <c r="U48" s="1"/>
    </row>
    <row r="49" spans="2:21">
      <c r="B49" t="str">
        <f t="shared" si="0"/>
        <v/>
      </c>
      <c r="C49" s="155">
        <f>IF(D11="","-",+C48+1)</f>
        <v>2046</v>
      </c>
      <c r="D49" s="164">
        <f>IF(F48+SUM(E$17:E48)=D$10,F48,D$10-SUM(E$17:E48))</f>
        <v>5169993.010981515</v>
      </c>
      <c r="E49" s="162">
        <f t="shared" si="4"/>
        <v>496599.73110306234</v>
      </c>
      <c r="F49" s="161">
        <f t="shared" si="5"/>
        <v>4673393.2798784524</v>
      </c>
      <c r="G49" s="163">
        <f t="shared" si="6"/>
        <v>1074854.5132069283</v>
      </c>
      <c r="H49" s="145">
        <f t="shared" si="7"/>
        <v>1074854.5132069283</v>
      </c>
      <c r="I49" s="158">
        <f t="shared" si="3"/>
        <v>0</v>
      </c>
      <c r="J49" s="158"/>
      <c r="K49" s="316"/>
      <c r="L49" s="160">
        <f t="shared" si="8"/>
        <v>0</v>
      </c>
      <c r="M49" s="316"/>
      <c r="N49" s="160">
        <f t="shared" si="1"/>
        <v>0</v>
      </c>
      <c r="O49" s="160">
        <f t="shared" si="2"/>
        <v>0</v>
      </c>
      <c r="P49" s="4"/>
      <c r="R49" s="1"/>
      <c r="S49" s="1"/>
      <c r="T49" s="1"/>
      <c r="U49" s="1"/>
    </row>
    <row r="50" spans="2:21">
      <c r="B50" t="str">
        <f t="shared" si="0"/>
        <v/>
      </c>
      <c r="C50" s="155">
        <f>IF(D11="","-",+C49+1)</f>
        <v>2047</v>
      </c>
      <c r="D50" s="164">
        <f>IF(F49+SUM(E$17:E49)=D$10,F49,D$10-SUM(E$17:E49))</f>
        <v>4673393.2798784524</v>
      </c>
      <c r="E50" s="162">
        <f t="shared" si="4"/>
        <v>496599.73110306234</v>
      </c>
      <c r="F50" s="161">
        <f t="shared" si="5"/>
        <v>4176793.5487753903</v>
      </c>
      <c r="G50" s="163">
        <f t="shared" si="6"/>
        <v>1016508.5008049805</v>
      </c>
      <c r="H50" s="145">
        <f t="shared" si="7"/>
        <v>1016508.5008049805</v>
      </c>
      <c r="I50" s="158">
        <f t="shared" si="3"/>
        <v>0</v>
      </c>
      <c r="J50" s="158"/>
      <c r="K50" s="316"/>
      <c r="L50" s="160">
        <f t="shared" si="8"/>
        <v>0</v>
      </c>
      <c r="M50" s="316"/>
      <c r="N50" s="160">
        <f t="shared" si="1"/>
        <v>0</v>
      </c>
      <c r="O50" s="160">
        <f t="shared" si="2"/>
        <v>0</v>
      </c>
      <c r="P50" s="4"/>
      <c r="R50" s="1"/>
      <c r="S50" s="1"/>
      <c r="T50" s="1"/>
      <c r="U50" s="1"/>
    </row>
    <row r="51" spans="2:21">
      <c r="B51" t="str">
        <f t="shared" si="0"/>
        <v/>
      </c>
      <c r="C51" s="155">
        <f>IF(D11="","-",+C50+1)</f>
        <v>2048</v>
      </c>
      <c r="D51" s="164">
        <f>IF(F50+SUM(E$17:E50)=D$10,F50,D$10-SUM(E$17:E50))</f>
        <v>4176793.5487753903</v>
      </c>
      <c r="E51" s="162">
        <f t="shared" si="4"/>
        <v>496599.73110306234</v>
      </c>
      <c r="F51" s="161">
        <f t="shared" si="5"/>
        <v>3680193.8176723281</v>
      </c>
      <c r="G51" s="163">
        <f t="shared" si="6"/>
        <v>958162.48840303253</v>
      </c>
      <c r="H51" s="145">
        <f t="shared" si="7"/>
        <v>958162.48840303253</v>
      </c>
      <c r="I51" s="158">
        <f t="shared" si="3"/>
        <v>0</v>
      </c>
      <c r="J51" s="158"/>
      <c r="K51" s="316"/>
      <c r="L51" s="160">
        <f t="shared" si="8"/>
        <v>0</v>
      </c>
      <c r="M51" s="316"/>
      <c r="N51" s="160">
        <f t="shared" si="1"/>
        <v>0</v>
      </c>
      <c r="O51" s="160">
        <f t="shared" si="2"/>
        <v>0</v>
      </c>
      <c r="P51" s="4"/>
      <c r="R51" s="1"/>
      <c r="S51" s="1"/>
      <c r="T51" s="1"/>
      <c r="U51" s="1"/>
    </row>
    <row r="52" spans="2:21">
      <c r="B52" t="str">
        <f t="shared" si="0"/>
        <v/>
      </c>
      <c r="C52" s="155">
        <f>IF(D11="","-",+C51+1)</f>
        <v>2049</v>
      </c>
      <c r="D52" s="164">
        <f>IF(F51+SUM(E$17:E51)=D$10,F51,D$10-SUM(E$17:E51))</f>
        <v>3680193.8176723281</v>
      </c>
      <c r="E52" s="162">
        <f t="shared" si="4"/>
        <v>496599.73110306234</v>
      </c>
      <c r="F52" s="161">
        <f t="shared" si="5"/>
        <v>3183594.0865692659</v>
      </c>
      <c r="G52" s="163">
        <f t="shared" si="6"/>
        <v>899816.47600108467</v>
      </c>
      <c r="H52" s="145">
        <f t="shared" si="7"/>
        <v>899816.47600108467</v>
      </c>
      <c r="I52" s="158">
        <f t="shared" si="3"/>
        <v>0</v>
      </c>
      <c r="J52" s="158"/>
      <c r="K52" s="316"/>
      <c r="L52" s="160">
        <f t="shared" si="8"/>
        <v>0</v>
      </c>
      <c r="M52" s="316"/>
      <c r="N52" s="160">
        <f t="shared" si="1"/>
        <v>0</v>
      </c>
      <c r="O52" s="160">
        <f t="shared" si="2"/>
        <v>0</v>
      </c>
      <c r="P52" s="4"/>
      <c r="R52" s="1"/>
      <c r="S52" s="1"/>
      <c r="T52" s="1"/>
      <c r="U52" s="1"/>
    </row>
    <row r="53" spans="2:21">
      <c r="B53" t="str">
        <f t="shared" si="0"/>
        <v/>
      </c>
      <c r="C53" s="155">
        <f>IF(D11="","-",+C52+1)</f>
        <v>2050</v>
      </c>
      <c r="D53" s="164">
        <f>IF(F52+SUM(E$17:E52)=D$10,F52,D$10-SUM(E$17:E52))</f>
        <v>3183594.0865692659</v>
      </c>
      <c r="E53" s="162">
        <f t="shared" si="4"/>
        <v>496599.73110306234</v>
      </c>
      <c r="F53" s="161">
        <f t="shared" si="5"/>
        <v>2686994.3554662038</v>
      </c>
      <c r="G53" s="163">
        <f t="shared" si="6"/>
        <v>841470.4635991368</v>
      </c>
      <c r="H53" s="145">
        <f t="shared" si="7"/>
        <v>841470.4635991368</v>
      </c>
      <c r="I53" s="158">
        <f t="shared" si="3"/>
        <v>0</v>
      </c>
      <c r="J53" s="158"/>
      <c r="K53" s="316"/>
      <c r="L53" s="160">
        <f t="shared" si="8"/>
        <v>0</v>
      </c>
      <c r="M53" s="316"/>
      <c r="N53" s="160">
        <f t="shared" si="1"/>
        <v>0</v>
      </c>
      <c r="O53" s="160">
        <f t="shared" si="2"/>
        <v>0</v>
      </c>
      <c r="P53" s="4"/>
      <c r="R53" s="1"/>
      <c r="S53" s="1"/>
      <c r="T53" s="1"/>
      <c r="U53" s="1"/>
    </row>
    <row r="54" spans="2:21">
      <c r="B54" t="str">
        <f t="shared" si="0"/>
        <v/>
      </c>
      <c r="C54" s="155">
        <f>IF(D11="","-",+C53+1)</f>
        <v>2051</v>
      </c>
      <c r="D54" s="164">
        <f>IF(F53+SUM(E$17:E53)=D$10,F53,D$10-SUM(E$17:E53))</f>
        <v>2686994.3554662038</v>
      </c>
      <c r="E54" s="162">
        <f t="shared" si="4"/>
        <v>496599.73110306234</v>
      </c>
      <c r="F54" s="161">
        <f t="shared" si="5"/>
        <v>2190394.6243631416</v>
      </c>
      <c r="G54" s="163">
        <f t="shared" si="6"/>
        <v>783124.45119718893</v>
      </c>
      <c r="H54" s="145">
        <f t="shared" si="7"/>
        <v>783124.45119718893</v>
      </c>
      <c r="I54" s="158">
        <f t="shared" si="3"/>
        <v>0</v>
      </c>
      <c r="J54" s="158"/>
      <c r="K54" s="316"/>
      <c r="L54" s="160">
        <f t="shared" si="8"/>
        <v>0</v>
      </c>
      <c r="M54" s="316"/>
      <c r="N54" s="160">
        <f t="shared" si="1"/>
        <v>0</v>
      </c>
      <c r="O54" s="160">
        <f t="shared" si="2"/>
        <v>0</v>
      </c>
      <c r="P54" s="4"/>
      <c r="R54" s="1"/>
      <c r="S54" s="1"/>
      <c r="T54" s="1"/>
      <c r="U54" s="1"/>
    </row>
    <row r="55" spans="2:21">
      <c r="B55" t="str">
        <f t="shared" si="0"/>
        <v/>
      </c>
      <c r="C55" s="155">
        <f>IF(D11="","-",+C54+1)</f>
        <v>2052</v>
      </c>
      <c r="D55" s="164">
        <f>IF(F54+SUM(E$17:E54)=D$10,F54,D$10-SUM(E$17:E54))</f>
        <v>2190394.6243631416</v>
      </c>
      <c r="E55" s="162">
        <f t="shared" si="4"/>
        <v>496599.73110306234</v>
      </c>
      <c r="F55" s="161">
        <f t="shared" si="5"/>
        <v>1693794.8932600792</v>
      </c>
      <c r="G55" s="163">
        <f t="shared" si="6"/>
        <v>724778.43879524106</v>
      </c>
      <c r="H55" s="145">
        <f t="shared" si="7"/>
        <v>724778.43879524106</v>
      </c>
      <c r="I55" s="158">
        <f t="shared" si="3"/>
        <v>0</v>
      </c>
      <c r="J55" s="158"/>
      <c r="K55" s="316"/>
      <c r="L55" s="160">
        <f t="shared" si="8"/>
        <v>0</v>
      </c>
      <c r="M55" s="316"/>
      <c r="N55" s="160">
        <f t="shared" si="1"/>
        <v>0</v>
      </c>
      <c r="O55" s="160">
        <f t="shared" si="2"/>
        <v>0</v>
      </c>
      <c r="P55" s="4"/>
      <c r="R55" s="1"/>
      <c r="S55" s="1"/>
      <c r="T55" s="1"/>
      <c r="U55" s="1"/>
    </row>
    <row r="56" spans="2:21">
      <c r="B56" t="str">
        <f t="shared" si="0"/>
        <v/>
      </c>
      <c r="C56" s="155">
        <f>IF(D11="","-",+C55+1)</f>
        <v>2053</v>
      </c>
      <c r="D56" s="164">
        <f>IF(F55+SUM(E$17:E55)=D$10,F55,D$10-SUM(E$17:E55))</f>
        <v>1693794.8932600792</v>
      </c>
      <c r="E56" s="162">
        <f t="shared" si="4"/>
        <v>496599.73110306234</v>
      </c>
      <c r="F56" s="161">
        <f t="shared" si="5"/>
        <v>1197195.1621570168</v>
      </c>
      <c r="G56" s="163">
        <f t="shared" si="6"/>
        <v>666432.42639329319</v>
      </c>
      <c r="H56" s="145">
        <f t="shared" si="7"/>
        <v>666432.42639329319</v>
      </c>
      <c r="I56" s="158">
        <f t="shared" si="3"/>
        <v>0</v>
      </c>
      <c r="J56" s="158"/>
      <c r="K56" s="316"/>
      <c r="L56" s="160">
        <f t="shared" si="8"/>
        <v>0</v>
      </c>
      <c r="M56" s="316"/>
      <c r="N56" s="160">
        <f t="shared" si="1"/>
        <v>0</v>
      </c>
      <c r="O56" s="160">
        <f t="shared" si="2"/>
        <v>0</v>
      </c>
      <c r="P56" s="4"/>
      <c r="R56" s="1"/>
      <c r="S56" s="1"/>
      <c r="T56" s="1"/>
      <c r="U56" s="1"/>
    </row>
    <row r="57" spans="2:21">
      <c r="B57" t="str">
        <f t="shared" si="0"/>
        <v/>
      </c>
      <c r="C57" s="155">
        <f>IF(D11="","-",+C56+1)</f>
        <v>2054</v>
      </c>
      <c r="D57" s="164">
        <f>IF(F56+SUM(E$17:E56)=D$10,F56,D$10-SUM(E$17:E56))</f>
        <v>1197195.1621570168</v>
      </c>
      <c r="E57" s="162">
        <f t="shared" si="4"/>
        <v>496599.73110306234</v>
      </c>
      <c r="F57" s="161">
        <f t="shared" si="5"/>
        <v>700595.43105395441</v>
      </c>
      <c r="G57" s="163">
        <f t="shared" si="6"/>
        <v>608086.41399134533</v>
      </c>
      <c r="H57" s="145">
        <f t="shared" si="7"/>
        <v>608086.41399134533</v>
      </c>
      <c r="I57" s="158">
        <f t="shared" si="3"/>
        <v>0</v>
      </c>
      <c r="J57" s="158"/>
      <c r="K57" s="316"/>
      <c r="L57" s="160">
        <f t="shared" si="8"/>
        <v>0</v>
      </c>
      <c r="M57" s="316"/>
      <c r="N57" s="160">
        <f t="shared" si="1"/>
        <v>0</v>
      </c>
      <c r="O57" s="160">
        <f t="shared" si="2"/>
        <v>0</v>
      </c>
      <c r="P57" s="4"/>
      <c r="R57" s="1"/>
      <c r="S57" s="1"/>
      <c r="T57" s="1"/>
      <c r="U57" s="1"/>
    </row>
    <row r="58" spans="2:21">
      <c r="B58" t="str">
        <f t="shared" si="0"/>
        <v/>
      </c>
      <c r="C58" s="155">
        <f>IF(D11="","-",+C57+1)</f>
        <v>2055</v>
      </c>
      <c r="D58" s="164">
        <f>IF(F57+SUM(E$17:E57)=D$10,F57,D$10-SUM(E$17:E57))</f>
        <v>700595.43105395441</v>
      </c>
      <c r="E58" s="162">
        <f t="shared" si="4"/>
        <v>496599.73110306234</v>
      </c>
      <c r="F58" s="161">
        <f t="shared" si="5"/>
        <v>203995.69995089207</v>
      </c>
      <c r="G58" s="163">
        <f t="shared" si="6"/>
        <v>549740.40158939734</v>
      </c>
      <c r="H58" s="145">
        <f t="shared" si="7"/>
        <v>549740.40158939734</v>
      </c>
      <c r="I58" s="158">
        <f t="shared" si="3"/>
        <v>0</v>
      </c>
      <c r="J58" s="158"/>
      <c r="K58" s="316"/>
      <c r="L58" s="160">
        <f t="shared" si="8"/>
        <v>0</v>
      </c>
      <c r="M58" s="316"/>
      <c r="N58" s="160">
        <f t="shared" si="1"/>
        <v>0</v>
      </c>
      <c r="O58" s="160">
        <f t="shared" si="2"/>
        <v>0</v>
      </c>
      <c r="P58" s="4"/>
      <c r="R58" s="1"/>
      <c r="S58" s="1"/>
      <c r="T58" s="1"/>
      <c r="U58" s="1"/>
    </row>
    <row r="59" spans="2:21">
      <c r="B59" t="str">
        <f t="shared" si="0"/>
        <v/>
      </c>
      <c r="C59" s="155">
        <f>IF(D11="","-",+C58+1)</f>
        <v>2056</v>
      </c>
      <c r="D59" s="164">
        <f>IF(F58+SUM(E$17:E58)=D$10,F58,D$10-SUM(E$17:E58))</f>
        <v>203995.69995089207</v>
      </c>
      <c r="E59" s="162">
        <f t="shared" si="4"/>
        <v>203995.69995089207</v>
      </c>
      <c r="F59" s="161">
        <f t="shared" si="5"/>
        <v>0</v>
      </c>
      <c r="G59" s="163">
        <f t="shared" si="6"/>
        <v>215979.5320935726</v>
      </c>
      <c r="H59" s="145">
        <f t="shared" si="7"/>
        <v>215979.5320935726</v>
      </c>
      <c r="I59" s="158">
        <f t="shared" si="3"/>
        <v>0</v>
      </c>
      <c r="J59" s="158"/>
      <c r="K59" s="316"/>
      <c r="L59" s="160">
        <f t="shared" si="8"/>
        <v>0</v>
      </c>
      <c r="M59" s="316"/>
      <c r="N59" s="160">
        <f t="shared" si="1"/>
        <v>0</v>
      </c>
      <c r="O59" s="160">
        <f t="shared" si="2"/>
        <v>0</v>
      </c>
      <c r="P59" s="4"/>
      <c r="R59" s="1"/>
      <c r="S59" s="1"/>
      <c r="T59" s="1"/>
      <c r="U59" s="1"/>
    </row>
    <row r="60" spans="2:21">
      <c r="B60" t="str">
        <f t="shared" si="0"/>
        <v/>
      </c>
      <c r="C60" s="155">
        <f>IF(D11="","-",+C59+1)</f>
        <v>2057</v>
      </c>
      <c r="D60" s="164">
        <f>IF(F59+SUM(E$17:E59)=D$10,F59,D$10-SUM(E$17:E59))</f>
        <v>0</v>
      </c>
      <c r="E60" s="162">
        <f t="shared" si="4"/>
        <v>0</v>
      </c>
      <c r="F60" s="161">
        <f t="shared" si="5"/>
        <v>0</v>
      </c>
      <c r="G60" s="163">
        <f t="shared" si="6"/>
        <v>0</v>
      </c>
      <c r="H60" s="145">
        <f t="shared" si="7"/>
        <v>0</v>
      </c>
      <c r="I60" s="158">
        <f t="shared" si="3"/>
        <v>0</v>
      </c>
      <c r="J60" s="158"/>
      <c r="K60" s="316"/>
      <c r="L60" s="160">
        <f t="shared" si="8"/>
        <v>0</v>
      </c>
      <c r="M60" s="316"/>
      <c r="N60" s="160">
        <f t="shared" si="1"/>
        <v>0</v>
      </c>
      <c r="O60" s="160">
        <f t="shared" si="2"/>
        <v>0</v>
      </c>
      <c r="P60" s="4"/>
      <c r="R60" s="1"/>
      <c r="S60" s="1"/>
      <c r="T60" s="1"/>
      <c r="U60" s="1"/>
    </row>
    <row r="61" spans="2:21">
      <c r="B61" t="str">
        <f t="shared" si="0"/>
        <v/>
      </c>
      <c r="C61" s="155">
        <f>IF(D11="","-",+C60+1)</f>
        <v>2058</v>
      </c>
      <c r="D61" s="164">
        <f>IF(F60+SUM(E$17:E60)=D$10,F60,D$10-SUM(E$17:E60))</f>
        <v>0</v>
      </c>
      <c r="E61" s="162">
        <f t="shared" si="4"/>
        <v>0</v>
      </c>
      <c r="F61" s="161">
        <f t="shared" si="5"/>
        <v>0</v>
      </c>
      <c r="G61" s="163">
        <f t="shared" si="6"/>
        <v>0</v>
      </c>
      <c r="H61" s="145">
        <f t="shared" si="7"/>
        <v>0</v>
      </c>
      <c r="I61" s="158">
        <f t="shared" si="3"/>
        <v>0</v>
      </c>
      <c r="J61" s="158"/>
      <c r="K61" s="316"/>
      <c r="L61" s="160">
        <f t="shared" si="8"/>
        <v>0</v>
      </c>
      <c r="M61" s="316"/>
      <c r="N61" s="160">
        <f t="shared" si="1"/>
        <v>0</v>
      </c>
      <c r="O61" s="160">
        <f t="shared" si="2"/>
        <v>0</v>
      </c>
      <c r="P61" s="4"/>
      <c r="R61" s="1"/>
      <c r="S61" s="1"/>
      <c r="T61" s="1"/>
      <c r="U61" s="1"/>
    </row>
    <row r="62" spans="2:21">
      <c r="B62" t="str">
        <f t="shared" si="0"/>
        <v/>
      </c>
      <c r="C62" s="155">
        <f>IF(D11="","-",+C61+1)</f>
        <v>2059</v>
      </c>
      <c r="D62" s="164">
        <f>IF(F61+SUM(E$17:E61)=D$10,F61,D$10-SUM(E$17:E61))</f>
        <v>0</v>
      </c>
      <c r="E62" s="162">
        <f t="shared" si="4"/>
        <v>0</v>
      </c>
      <c r="F62" s="161">
        <f t="shared" si="5"/>
        <v>0</v>
      </c>
      <c r="G62" s="163">
        <f t="shared" si="6"/>
        <v>0</v>
      </c>
      <c r="H62" s="145">
        <f t="shared" si="7"/>
        <v>0</v>
      </c>
      <c r="I62" s="158">
        <f t="shared" si="3"/>
        <v>0</v>
      </c>
      <c r="J62" s="158"/>
      <c r="K62" s="316"/>
      <c r="L62" s="160">
        <f t="shared" si="8"/>
        <v>0</v>
      </c>
      <c r="M62" s="316"/>
      <c r="N62" s="160">
        <f t="shared" si="1"/>
        <v>0</v>
      </c>
      <c r="O62" s="160">
        <f t="shared" si="2"/>
        <v>0</v>
      </c>
      <c r="P62" s="4"/>
      <c r="R62" s="1"/>
      <c r="S62" s="1"/>
      <c r="T62" s="1"/>
      <c r="U62" s="1"/>
    </row>
    <row r="63" spans="2:21">
      <c r="B63" t="str">
        <f t="shared" si="0"/>
        <v/>
      </c>
      <c r="C63" s="155">
        <f>IF(D11="","-",+C62+1)</f>
        <v>2060</v>
      </c>
      <c r="D63" s="164">
        <f>IF(F62+SUM(E$17:E62)=D$10,F62,D$10-SUM(E$17:E62))</f>
        <v>0</v>
      </c>
      <c r="E63" s="162">
        <f t="shared" si="4"/>
        <v>0</v>
      </c>
      <c r="F63" s="161">
        <f t="shared" si="5"/>
        <v>0</v>
      </c>
      <c r="G63" s="163">
        <f t="shared" si="6"/>
        <v>0</v>
      </c>
      <c r="H63" s="145">
        <f t="shared" si="7"/>
        <v>0</v>
      </c>
      <c r="I63" s="158">
        <f t="shared" si="3"/>
        <v>0</v>
      </c>
      <c r="J63" s="158"/>
      <c r="K63" s="316"/>
      <c r="L63" s="160">
        <f t="shared" si="8"/>
        <v>0</v>
      </c>
      <c r="M63" s="316"/>
      <c r="N63" s="160">
        <f t="shared" si="1"/>
        <v>0</v>
      </c>
      <c r="O63" s="160">
        <f t="shared" si="2"/>
        <v>0</v>
      </c>
      <c r="P63" s="4"/>
      <c r="R63" s="1"/>
      <c r="S63" s="1"/>
      <c r="T63" s="1"/>
      <c r="U63" s="1"/>
    </row>
    <row r="64" spans="2:21">
      <c r="B64" t="str">
        <f t="shared" si="0"/>
        <v/>
      </c>
      <c r="C64" s="155">
        <f>IF(D11="","-",+C63+1)</f>
        <v>2061</v>
      </c>
      <c r="D64" s="164">
        <f>IF(F63+SUM(E$17:E63)=D$10,F63,D$10-SUM(E$17:E63))</f>
        <v>0</v>
      </c>
      <c r="E64" s="162">
        <f t="shared" si="4"/>
        <v>0</v>
      </c>
      <c r="F64" s="161">
        <f t="shared" si="5"/>
        <v>0</v>
      </c>
      <c r="G64" s="163">
        <f t="shared" si="6"/>
        <v>0</v>
      </c>
      <c r="H64" s="145">
        <f t="shared" si="7"/>
        <v>0</v>
      </c>
      <c r="I64" s="158">
        <f t="shared" si="3"/>
        <v>0</v>
      </c>
      <c r="J64" s="158"/>
      <c r="K64" s="316"/>
      <c r="L64" s="160">
        <f t="shared" si="8"/>
        <v>0</v>
      </c>
      <c r="M64" s="316"/>
      <c r="N64" s="160">
        <f t="shared" si="1"/>
        <v>0</v>
      </c>
      <c r="O64" s="160">
        <f t="shared" si="2"/>
        <v>0</v>
      </c>
      <c r="P64" s="4"/>
      <c r="R64" s="1"/>
      <c r="S64" s="1"/>
      <c r="T64" s="1"/>
      <c r="U64" s="1"/>
    </row>
    <row r="65" spans="2:21">
      <c r="B65" t="str">
        <f t="shared" si="0"/>
        <v/>
      </c>
      <c r="C65" s="155">
        <f>IF(D11="","-",+C64+1)</f>
        <v>2062</v>
      </c>
      <c r="D65" s="164">
        <f>IF(F64+SUM(E$17:E64)=D$10,F64,D$10-SUM(E$17:E64))</f>
        <v>0</v>
      </c>
      <c r="E65" s="162">
        <f t="shared" si="4"/>
        <v>0</v>
      </c>
      <c r="F65" s="161">
        <f t="shared" si="5"/>
        <v>0</v>
      </c>
      <c r="G65" s="163">
        <f t="shared" si="6"/>
        <v>0</v>
      </c>
      <c r="H65" s="145">
        <f t="shared" si="7"/>
        <v>0</v>
      </c>
      <c r="I65" s="158">
        <f t="shared" si="3"/>
        <v>0</v>
      </c>
      <c r="J65" s="158"/>
      <c r="K65" s="316"/>
      <c r="L65" s="160">
        <f t="shared" si="8"/>
        <v>0</v>
      </c>
      <c r="M65" s="316"/>
      <c r="N65" s="160">
        <f t="shared" si="1"/>
        <v>0</v>
      </c>
      <c r="O65" s="160">
        <f t="shared" si="2"/>
        <v>0</v>
      </c>
      <c r="P65" s="4"/>
      <c r="R65" s="1"/>
      <c r="S65" s="1"/>
      <c r="T65" s="1"/>
      <c r="U65" s="1"/>
    </row>
    <row r="66" spans="2:21">
      <c r="B66" t="str">
        <f t="shared" si="0"/>
        <v/>
      </c>
      <c r="C66" s="155">
        <f>IF(D11="","-",+C65+1)</f>
        <v>2063</v>
      </c>
      <c r="D66" s="164">
        <f>IF(F65+SUM(E$17:E65)=D$10,F65,D$10-SUM(E$17:E65))</f>
        <v>0</v>
      </c>
      <c r="E66" s="162">
        <f t="shared" si="4"/>
        <v>0</v>
      </c>
      <c r="F66" s="161">
        <f t="shared" si="5"/>
        <v>0</v>
      </c>
      <c r="G66" s="163">
        <f t="shared" si="6"/>
        <v>0</v>
      </c>
      <c r="H66" s="145">
        <f t="shared" si="7"/>
        <v>0</v>
      </c>
      <c r="I66" s="158">
        <f t="shared" si="3"/>
        <v>0</v>
      </c>
      <c r="J66" s="158"/>
      <c r="K66" s="316"/>
      <c r="L66" s="160">
        <f t="shared" si="8"/>
        <v>0</v>
      </c>
      <c r="M66" s="316"/>
      <c r="N66" s="160">
        <f t="shared" si="1"/>
        <v>0</v>
      </c>
      <c r="O66" s="160">
        <f t="shared" si="2"/>
        <v>0</v>
      </c>
      <c r="P66" s="4"/>
      <c r="R66" s="1"/>
      <c r="S66" s="1"/>
      <c r="T66" s="1"/>
      <c r="U66" s="1"/>
    </row>
    <row r="67" spans="2:21">
      <c r="B67" t="str">
        <f t="shared" si="0"/>
        <v/>
      </c>
      <c r="C67" s="155">
        <f>IF(D11="","-",+C66+1)</f>
        <v>2064</v>
      </c>
      <c r="D67" s="164">
        <f>IF(F66+SUM(E$17:E66)=D$10,F66,D$10-SUM(E$17:E66))</f>
        <v>0</v>
      </c>
      <c r="E67" s="162">
        <f t="shared" si="4"/>
        <v>0</v>
      </c>
      <c r="F67" s="161">
        <f t="shared" si="5"/>
        <v>0</v>
      </c>
      <c r="G67" s="163">
        <f t="shared" si="6"/>
        <v>0</v>
      </c>
      <c r="H67" s="145">
        <f t="shared" si="7"/>
        <v>0</v>
      </c>
      <c r="I67" s="158">
        <f t="shared" si="3"/>
        <v>0</v>
      </c>
      <c r="J67" s="158"/>
      <c r="K67" s="316"/>
      <c r="L67" s="160">
        <f t="shared" si="8"/>
        <v>0</v>
      </c>
      <c r="M67" s="316"/>
      <c r="N67" s="160">
        <f t="shared" si="1"/>
        <v>0</v>
      </c>
      <c r="O67" s="160">
        <f t="shared" si="2"/>
        <v>0</v>
      </c>
      <c r="P67" s="4"/>
      <c r="R67" s="1"/>
      <c r="S67" s="1"/>
      <c r="T67" s="1"/>
      <c r="U67" s="1"/>
    </row>
    <row r="68" spans="2:21">
      <c r="B68" t="str">
        <f t="shared" si="0"/>
        <v/>
      </c>
      <c r="C68" s="155">
        <f>IF(D11="","-",+C67+1)</f>
        <v>2065</v>
      </c>
      <c r="D68" s="164">
        <f>IF(F67+SUM(E$17:E67)=D$10,F67,D$10-SUM(E$17:E67))</f>
        <v>0</v>
      </c>
      <c r="E68" s="162">
        <f t="shared" si="4"/>
        <v>0</v>
      </c>
      <c r="F68" s="161">
        <f t="shared" si="5"/>
        <v>0</v>
      </c>
      <c r="G68" s="163">
        <f t="shared" si="6"/>
        <v>0</v>
      </c>
      <c r="H68" s="145">
        <f t="shared" si="7"/>
        <v>0</v>
      </c>
      <c r="I68" s="158">
        <f t="shared" si="3"/>
        <v>0</v>
      </c>
      <c r="J68" s="158"/>
      <c r="K68" s="316"/>
      <c r="L68" s="160">
        <f t="shared" si="8"/>
        <v>0</v>
      </c>
      <c r="M68" s="316"/>
      <c r="N68" s="160">
        <f t="shared" si="1"/>
        <v>0</v>
      </c>
      <c r="O68" s="160">
        <f t="shared" si="2"/>
        <v>0</v>
      </c>
      <c r="P68" s="4"/>
      <c r="R68" s="1"/>
      <c r="S68" s="1"/>
      <c r="T68" s="1"/>
      <c r="U68" s="1"/>
    </row>
    <row r="69" spans="2:21">
      <c r="B69" t="str">
        <f t="shared" si="0"/>
        <v/>
      </c>
      <c r="C69" s="155">
        <f>IF(D11="","-",+C68+1)</f>
        <v>2066</v>
      </c>
      <c r="D69" s="164">
        <f>IF(F68+SUM(E$17:E68)=D$10,F68,D$10-SUM(E$17:E68))</f>
        <v>0</v>
      </c>
      <c r="E69" s="162">
        <f t="shared" si="4"/>
        <v>0</v>
      </c>
      <c r="F69" s="161">
        <f t="shared" si="5"/>
        <v>0</v>
      </c>
      <c r="G69" s="163">
        <f t="shared" si="6"/>
        <v>0</v>
      </c>
      <c r="H69" s="145">
        <f t="shared" si="7"/>
        <v>0</v>
      </c>
      <c r="I69" s="158">
        <f t="shared" si="3"/>
        <v>0</v>
      </c>
      <c r="J69" s="158"/>
      <c r="K69" s="316"/>
      <c r="L69" s="160">
        <f t="shared" si="8"/>
        <v>0</v>
      </c>
      <c r="M69" s="316"/>
      <c r="N69" s="160">
        <f t="shared" si="1"/>
        <v>0</v>
      </c>
      <c r="O69" s="160">
        <f t="shared" si="2"/>
        <v>0</v>
      </c>
      <c r="P69" s="4"/>
      <c r="R69" s="1"/>
      <c r="S69" s="1"/>
      <c r="T69" s="1"/>
      <c r="U69" s="1"/>
    </row>
    <row r="70" spans="2:21">
      <c r="B70" t="str">
        <f t="shared" si="0"/>
        <v/>
      </c>
      <c r="C70" s="155">
        <f>IF(D11="","-",+C69+1)</f>
        <v>2067</v>
      </c>
      <c r="D70" s="164">
        <f>IF(F69+SUM(E$17:E69)=D$10,F69,D$10-SUM(E$17:E69))</f>
        <v>0</v>
      </c>
      <c r="E70" s="162">
        <f t="shared" si="4"/>
        <v>0</v>
      </c>
      <c r="F70" s="161">
        <f t="shared" si="5"/>
        <v>0</v>
      </c>
      <c r="G70" s="163">
        <f t="shared" si="6"/>
        <v>0</v>
      </c>
      <c r="H70" s="145">
        <f t="shared" si="7"/>
        <v>0</v>
      </c>
      <c r="I70" s="158">
        <f t="shared" si="3"/>
        <v>0</v>
      </c>
      <c r="J70" s="158"/>
      <c r="K70" s="316"/>
      <c r="L70" s="160">
        <f t="shared" si="8"/>
        <v>0</v>
      </c>
      <c r="M70" s="316"/>
      <c r="N70" s="160">
        <f t="shared" si="1"/>
        <v>0</v>
      </c>
      <c r="O70" s="160">
        <f t="shared" si="2"/>
        <v>0</v>
      </c>
      <c r="P70" s="4"/>
      <c r="R70" s="1"/>
      <c r="S70" s="1"/>
      <c r="T70" s="1"/>
      <c r="U70" s="1"/>
    </row>
    <row r="71" spans="2:21">
      <c r="B71" t="str">
        <f t="shared" si="0"/>
        <v/>
      </c>
      <c r="C71" s="155">
        <f>IF(D11="","-",+C70+1)</f>
        <v>2068</v>
      </c>
      <c r="D71" s="164">
        <f>IF(F70+SUM(E$17:E70)=D$10,F70,D$10-SUM(E$17:E70))</f>
        <v>0</v>
      </c>
      <c r="E71" s="162">
        <f t="shared" si="4"/>
        <v>0</v>
      </c>
      <c r="F71" s="161">
        <f t="shared" si="5"/>
        <v>0</v>
      </c>
      <c r="G71" s="163">
        <f t="shared" si="6"/>
        <v>0</v>
      </c>
      <c r="H71" s="145">
        <f t="shared" si="7"/>
        <v>0</v>
      </c>
      <c r="I71" s="158">
        <f t="shared" si="3"/>
        <v>0</v>
      </c>
      <c r="J71" s="158"/>
      <c r="K71" s="316"/>
      <c r="L71" s="160">
        <f t="shared" si="8"/>
        <v>0</v>
      </c>
      <c r="M71" s="316"/>
      <c r="N71" s="160">
        <f t="shared" si="1"/>
        <v>0</v>
      </c>
      <c r="O71" s="160">
        <f t="shared" si="2"/>
        <v>0</v>
      </c>
      <c r="P71" s="4"/>
      <c r="R71" s="1"/>
      <c r="S71" s="1"/>
      <c r="T71" s="1"/>
      <c r="U71" s="1"/>
    </row>
    <row r="72" spans="2:21">
      <c r="B72" t="str">
        <f t="shared" si="0"/>
        <v/>
      </c>
      <c r="C72" s="155">
        <f>IF(D11="","-",+C71+1)</f>
        <v>2069</v>
      </c>
      <c r="D72" s="164">
        <f>IF(F71+SUM(E$17:E71)=D$10,F71,D$10-SUM(E$17:E71))</f>
        <v>0</v>
      </c>
      <c r="E72" s="162">
        <f t="shared" si="4"/>
        <v>0</v>
      </c>
      <c r="F72" s="161">
        <f t="shared" si="5"/>
        <v>0</v>
      </c>
      <c r="G72" s="163">
        <f t="shared" si="6"/>
        <v>0</v>
      </c>
      <c r="H72" s="145">
        <f t="shared" si="7"/>
        <v>0</v>
      </c>
      <c r="I72" s="158">
        <f t="shared" si="3"/>
        <v>0</v>
      </c>
      <c r="J72" s="158"/>
      <c r="K72" s="316"/>
      <c r="L72" s="160">
        <f t="shared" si="8"/>
        <v>0</v>
      </c>
      <c r="M72" s="316"/>
      <c r="N72" s="160">
        <f t="shared" si="1"/>
        <v>0</v>
      </c>
      <c r="O72" s="160">
        <f t="shared" si="2"/>
        <v>0</v>
      </c>
      <c r="P72" s="4"/>
      <c r="R72" s="1"/>
      <c r="S72" s="1"/>
      <c r="T72" s="1"/>
      <c r="U72" s="1"/>
    </row>
    <row r="73" spans="2:21" ht="13.5" thickBot="1">
      <c r="B73" t="str">
        <f t="shared" si="0"/>
        <v/>
      </c>
      <c r="C73" s="166">
        <f>IF(D11="","-",+C72+1)</f>
        <v>2070</v>
      </c>
      <c r="D73" s="349">
        <f>IF(F72+SUM(E$17:E72)=D$10,F72,D$10-SUM(E$17:E72))</f>
        <v>0</v>
      </c>
      <c r="E73" s="168">
        <f t="shared" si="4"/>
        <v>0</v>
      </c>
      <c r="F73" s="167">
        <f t="shared" si="5"/>
        <v>0</v>
      </c>
      <c r="G73" s="167">
        <f t="shared" si="6"/>
        <v>0</v>
      </c>
      <c r="H73" s="167">
        <f t="shared" si="7"/>
        <v>0</v>
      </c>
      <c r="I73" s="170">
        <f t="shared" si="3"/>
        <v>0</v>
      </c>
      <c r="J73" s="158"/>
      <c r="K73" s="317"/>
      <c r="L73" s="171">
        <f t="shared" si="8"/>
        <v>0</v>
      </c>
      <c r="M73" s="317"/>
      <c r="N73" s="171">
        <f t="shared" si="1"/>
        <v>0</v>
      </c>
      <c r="O73" s="171">
        <f t="shared" si="2"/>
        <v>0</v>
      </c>
      <c r="P73" s="4"/>
      <c r="R73" s="1"/>
      <c r="S73" s="1"/>
      <c r="T73" s="1"/>
      <c r="U73" s="1"/>
    </row>
    <row r="74" spans="2:21">
      <c r="C74" s="156" t="s">
        <v>75</v>
      </c>
      <c r="D74" s="112"/>
      <c r="E74" s="112">
        <f>SUM(E17:E73)</f>
        <v>20249060</v>
      </c>
      <c r="F74" s="112"/>
      <c r="G74" s="112">
        <f>SUM(G17:G73)</f>
        <v>69784126.208249122</v>
      </c>
      <c r="H74" s="112">
        <f>SUM(H17:H73)</f>
        <v>69784126.208249122</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11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2708399.4041434019</v>
      </c>
      <c r="N88" s="198">
        <f>IF(J93&lt;D11,0,VLOOKUP(J93,C17:O73,11))</f>
        <v>2708399.4041434019</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2530181.3848446766</v>
      </c>
      <c r="N89" s="200">
        <f>IF(J93&lt;D11,0,VLOOKUP(J93,C100:P155,7))</f>
        <v>2530181.3848446766</v>
      </c>
      <c r="O89" s="201">
        <f>+N89-M89</f>
        <v>0</v>
      </c>
      <c r="P89" s="1"/>
      <c r="Q89" s="1"/>
      <c r="R89" s="1"/>
      <c r="S89" s="1"/>
      <c r="T89" s="1"/>
      <c r="U89" s="1"/>
    </row>
    <row r="90" spans="1:21" ht="13.5" thickBot="1">
      <c r="C90" s="124" t="s">
        <v>82</v>
      </c>
      <c r="D90" s="243" t="str">
        <f>+D7</f>
        <v>Grady Customer Connection</v>
      </c>
      <c r="E90" s="1"/>
      <c r="F90" s="1"/>
      <c r="G90" s="1"/>
      <c r="H90" s="1"/>
      <c r="I90" s="3"/>
      <c r="J90" s="3"/>
      <c r="K90" s="256"/>
      <c r="L90" s="257" t="s">
        <v>135</v>
      </c>
      <c r="M90" s="203">
        <f>+M89-M88</f>
        <v>-178218.0192987253</v>
      </c>
      <c r="N90" s="203">
        <f>+N89-N88</f>
        <v>-178218.0192987253</v>
      </c>
      <c r="O90" s="204">
        <f>+O89-O88</f>
        <v>0</v>
      </c>
      <c r="P90" s="1"/>
      <c r="Q90" s="1"/>
      <c r="R90" s="1"/>
      <c r="S90" s="1"/>
      <c r="T90" s="1"/>
      <c r="U90" s="1"/>
    </row>
    <row r="91" spans="1:21" ht="13.5" thickBot="1">
      <c r="C91" s="172"/>
      <c r="D91" s="384" t="str">
        <f>IF(D8="","",D8)</f>
        <v>***Sch. 11 recovery commenced in 2015 rate year***</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TP2013002</v>
      </c>
      <c r="E92" s="206"/>
      <c r="F92" s="206"/>
      <c r="G92" s="206"/>
      <c r="H92" s="206"/>
      <c r="I92" s="206"/>
      <c r="J92" s="206"/>
      <c r="K92" s="207"/>
      <c r="P92" s="134"/>
      <c r="Q92" s="1"/>
      <c r="R92" s="1"/>
      <c r="S92" s="1"/>
      <c r="T92" s="1"/>
      <c r="U92" s="1"/>
    </row>
    <row r="93" spans="1:21">
      <c r="C93" s="139" t="s">
        <v>49</v>
      </c>
      <c r="D93" s="401">
        <v>20242585</v>
      </c>
      <c r="E93" s="23" t="s">
        <v>84</v>
      </c>
      <c r="H93" s="137"/>
      <c r="I93" s="137"/>
      <c r="J93" s="138">
        <f>+'OKT.WS.G.BPU.ATRR.True-up'!M16</f>
        <v>2018</v>
      </c>
      <c r="K93" s="133"/>
      <c r="L93" s="112" t="s">
        <v>85</v>
      </c>
      <c r="P93" s="4"/>
      <c r="Q93" s="1"/>
      <c r="R93" s="1"/>
      <c r="S93" s="1"/>
      <c r="T93" s="1"/>
      <c r="U93" s="1"/>
    </row>
    <row r="94" spans="1:21">
      <c r="C94" s="139" t="s">
        <v>52</v>
      </c>
      <c r="D94" s="218">
        <f>D11</f>
        <v>2014</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D12</f>
        <v>11</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562294.02777777775</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21" t="s">
        <v>71</v>
      </c>
      <c r="I99" s="151" t="s">
        <v>72</v>
      </c>
      <c r="J99" s="152" t="s">
        <v>93</v>
      </c>
      <c r="K99" s="153"/>
      <c r="L99" s="154" t="s">
        <v>74</v>
      </c>
      <c r="M99" s="154" t="s">
        <v>74</v>
      </c>
      <c r="N99" s="154" t="s">
        <v>94</v>
      </c>
      <c r="O99" s="154" t="s">
        <v>94</v>
      </c>
      <c r="P99" s="154" t="s">
        <v>94</v>
      </c>
      <c r="Q99" s="1"/>
      <c r="R99" s="1"/>
      <c r="S99" s="1"/>
      <c r="T99" s="1"/>
      <c r="U99" s="1"/>
    </row>
    <row r="100" spans="1:21">
      <c r="C100" s="155">
        <f>IF(D94= "","-",D94)</f>
        <v>2014</v>
      </c>
      <c r="D100" s="156"/>
      <c r="E100" s="163"/>
      <c r="F100" s="161"/>
      <c r="G100" s="213"/>
      <c r="H100" s="213"/>
      <c r="I100" s="213"/>
      <c r="J100" s="160"/>
      <c r="K100" s="160"/>
      <c r="L100" s="318"/>
      <c r="M100" s="340">
        <f t="shared" ref="M100:M131" si="9">IF(L100&lt;&gt;0,+H100-L100,0)</f>
        <v>0</v>
      </c>
      <c r="N100" s="318"/>
      <c r="O100" s="159">
        <f t="shared" ref="O100:O131" si="10">IF(N100&lt;&gt;0,+I100-N100,0)</f>
        <v>0</v>
      </c>
      <c r="P100" s="159">
        <f t="shared" ref="P100:P131" si="11">+O100-M100</f>
        <v>0</v>
      </c>
      <c r="Q100" s="1"/>
      <c r="R100" s="1"/>
      <c r="S100" s="1"/>
      <c r="T100" s="1"/>
      <c r="U100" s="1"/>
    </row>
    <row r="101" spans="1:21">
      <c r="B101" t="str">
        <f t="shared" ref="B101:B155" si="12">IF(D101=F100,"","IU")</f>
        <v>IU</v>
      </c>
      <c r="C101" s="155">
        <f>IF(D94="","-",+C100+1)</f>
        <v>2015</v>
      </c>
      <c r="D101" s="373">
        <v>19016226.275360011</v>
      </c>
      <c r="E101" s="375">
        <v>416545.33333333331</v>
      </c>
      <c r="F101" s="377">
        <v>18599680.942026678</v>
      </c>
      <c r="G101" s="377">
        <v>18807953.608693346</v>
      </c>
      <c r="H101" s="375">
        <v>2510424.0615898012</v>
      </c>
      <c r="I101" s="376">
        <v>2510424.0615898012</v>
      </c>
      <c r="J101" s="160">
        <v>0</v>
      </c>
      <c r="K101" s="160"/>
      <c r="L101" s="344">
        <f>H101</f>
        <v>2510424.0615898012</v>
      </c>
      <c r="M101" s="160">
        <f>IF(L101&lt;&gt;0,+H101-L101,0)</f>
        <v>0</v>
      </c>
      <c r="N101" s="344">
        <f>I101</f>
        <v>2510424.0615898012</v>
      </c>
      <c r="O101" s="160">
        <f t="shared" si="10"/>
        <v>0</v>
      </c>
      <c r="P101" s="160">
        <f t="shared" si="11"/>
        <v>0</v>
      </c>
      <c r="Q101" s="1"/>
      <c r="R101" s="1"/>
      <c r="S101" s="1"/>
      <c r="T101" s="1"/>
      <c r="U101" s="1"/>
    </row>
    <row r="102" spans="1:21">
      <c r="B102" t="str">
        <f t="shared" si="12"/>
        <v>IU</v>
      </c>
      <c r="C102" s="155">
        <f>IF(D94="","-",+C101+1)</f>
        <v>2016</v>
      </c>
      <c r="D102" s="373">
        <v>19825461.666666668</v>
      </c>
      <c r="E102" s="375">
        <v>396902.09803921566</v>
      </c>
      <c r="F102" s="377">
        <v>19428559.568627451</v>
      </c>
      <c r="G102" s="377">
        <v>19627010.617647059</v>
      </c>
      <c r="H102" s="375">
        <v>2523870.6286029778</v>
      </c>
      <c r="I102" s="376">
        <v>2523870.6286029778</v>
      </c>
      <c r="J102" s="160">
        <f>+I102-H102</f>
        <v>0</v>
      </c>
      <c r="K102" s="160"/>
      <c r="L102" s="344">
        <f>H102</f>
        <v>2523870.6286029778</v>
      </c>
      <c r="M102" s="160">
        <f>IF(L102&lt;&gt;0,+H102-L102,0)</f>
        <v>0</v>
      </c>
      <c r="N102" s="344">
        <f>I102</f>
        <v>2523870.6286029778</v>
      </c>
      <c r="O102" s="160">
        <f>IF(N102&lt;&gt;0,+I102-N102,0)</f>
        <v>0</v>
      </c>
      <c r="P102" s="160">
        <f>+O102-M102</f>
        <v>0</v>
      </c>
      <c r="Q102" s="1"/>
      <c r="R102" s="1"/>
      <c r="S102" s="1"/>
      <c r="T102" s="1"/>
      <c r="U102" s="1"/>
    </row>
    <row r="103" spans="1:21">
      <c r="B103" t="str">
        <f t="shared" si="12"/>
        <v>IU</v>
      </c>
      <c r="C103" s="155">
        <f>IF(D94="","-",+C102+1)</f>
        <v>2017</v>
      </c>
      <c r="D103" s="373">
        <v>19429137.568627451</v>
      </c>
      <c r="E103" s="375">
        <v>506064.625</v>
      </c>
      <c r="F103" s="377">
        <v>18923072.943627451</v>
      </c>
      <c r="G103" s="377">
        <v>19176105.256127451</v>
      </c>
      <c r="H103" s="375">
        <v>2756109.5074390932</v>
      </c>
      <c r="I103" s="376">
        <v>2756109.5074390932</v>
      </c>
      <c r="J103" s="160">
        <v>0</v>
      </c>
      <c r="K103" s="160"/>
      <c r="L103" s="344">
        <f>H103</f>
        <v>2756109.5074390932</v>
      </c>
      <c r="M103" s="160">
        <f>IF(L103&lt;&gt;0,+H103-L103,0)</f>
        <v>0</v>
      </c>
      <c r="N103" s="344">
        <f>I103</f>
        <v>2756109.5074390932</v>
      </c>
      <c r="O103" s="160">
        <f>IF(N103&lt;&gt;0,+I103-N103,0)</f>
        <v>0</v>
      </c>
      <c r="P103" s="160">
        <f>+O103-M103</f>
        <v>0</v>
      </c>
      <c r="Q103" s="1"/>
      <c r="R103" s="1"/>
      <c r="S103" s="1"/>
      <c r="T103" s="1"/>
      <c r="U103" s="1"/>
    </row>
    <row r="104" spans="1:21">
      <c r="B104" t="str">
        <f t="shared" si="12"/>
        <v/>
      </c>
      <c r="C104" s="155">
        <f>IF(D94="","-",+C103+1)</f>
        <v>2018</v>
      </c>
      <c r="D104" s="156">
        <f>IF(F103+SUM(E$100:E103)=D$93,F103,D$93-SUM(E$100:E103))</f>
        <v>18923072.943627451</v>
      </c>
      <c r="E104" s="402">
        <f t="shared" ref="E104:E155" si="13">IF(+$J$97&lt;F103,$J$97,D104)</f>
        <v>562294.02777777775</v>
      </c>
      <c r="F104" s="161">
        <f t="shared" ref="F104:F155" si="14">+D104-E104</f>
        <v>18360778.915849674</v>
      </c>
      <c r="G104" s="161">
        <f t="shared" ref="G104:G155" si="15">+(F104+D104)/2</f>
        <v>18641925.929738563</v>
      </c>
      <c r="H104" s="403">
        <f t="shared" ref="H104:H155" si="16">+J$95*G104+E104</f>
        <v>2530181.3848446766</v>
      </c>
      <c r="I104" s="404">
        <f t="shared" ref="I104:I155" si="17">+J$96*G104+E104</f>
        <v>2530181.3848446766</v>
      </c>
      <c r="J104" s="160">
        <f t="shared" ref="J104:J155" si="18">+I104-H104</f>
        <v>0</v>
      </c>
      <c r="K104" s="160"/>
      <c r="L104" s="316"/>
      <c r="M104" s="160">
        <f t="shared" si="9"/>
        <v>0</v>
      </c>
      <c r="N104" s="316"/>
      <c r="O104" s="160">
        <f t="shared" si="10"/>
        <v>0</v>
      </c>
      <c r="P104" s="160">
        <f t="shared" si="11"/>
        <v>0</v>
      </c>
      <c r="Q104" s="1"/>
      <c r="R104" s="1"/>
      <c r="S104" s="1"/>
      <c r="T104" s="1"/>
      <c r="U104" s="1"/>
    </row>
    <row r="105" spans="1:21">
      <c r="B105" t="str">
        <f t="shared" si="12"/>
        <v/>
      </c>
      <c r="C105" s="155">
        <f>IF(D94="","-",+C104+1)</f>
        <v>2019</v>
      </c>
      <c r="D105" s="156">
        <f>IF(F104+SUM(E$100:E104)=D$93,F104,D$93-SUM(E$100:E104))</f>
        <v>18360778.915849674</v>
      </c>
      <c r="E105" s="402">
        <f t="shared" si="13"/>
        <v>562294.02777777775</v>
      </c>
      <c r="F105" s="161">
        <f t="shared" si="14"/>
        <v>17798484.888071898</v>
      </c>
      <c r="G105" s="161">
        <f t="shared" si="15"/>
        <v>18079631.901960786</v>
      </c>
      <c r="H105" s="403">
        <f t="shared" si="16"/>
        <v>2470824.2501586666</v>
      </c>
      <c r="I105" s="404">
        <f t="shared" si="17"/>
        <v>2470824.2501586666</v>
      </c>
      <c r="J105" s="160">
        <f t="shared" si="18"/>
        <v>0</v>
      </c>
      <c r="K105" s="160"/>
      <c r="L105" s="316"/>
      <c r="M105" s="160">
        <f t="shared" si="9"/>
        <v>0</v>
      </c>
      <c r="N105" s="316"/>
      <c r="O105" s="160">
        <f t="shared" si="10"/>
        <v>0</v>
      </c>
      <c r="P105" s="160">
        <f t="shared" si="11"/>
        <v>0</v>
      </c>
      <c r="Q105" s="1"/>
      <c r="R105" s="1"/>
      <c r="S105" s="1"/>
      <c r="T105" s="1"/>
      <c r="U105" s="1"/>
    </row>
    <row r="106" spans="1:21">
      <c r="B106" t="str">
        <f t="shared" si="12"/>
        <v/>
      </c>
      <c r="C106" s="155">
        <f>IF(D94="","-",+C105+1)</f>
        <v>2020</v>
      </c>
      <c r="D106" s="156">
        <f>IF(F105+SUM(E$100:E105)=D$93,F105,D$93-SUM(E$100:E105))</f>
        <v>17798484.888071898</v>
      </c>
      <c r="E106" s="402">
        <f t="shared" si="13"/>
        <v>562294.02777777775</v>
      </c>
      <c r="F106" s="161">
        <f t="shared" si="14"/>
        <v>17236190.860294122</v>
      </c>
      <c r="G106" s="161">
        <f t="shared" si="15"/>
        <v>17517337.87418301</v>
      </c>
      <c r="H106" s="403">
        <f t="shared" si="16"/>
        <v>2411467.1154726567</v>
      </c>
      <c r="I106" s="404">
        <f t="shared" si="17"/>
        <v>2411467.1154726567</v>
      </c>
      <c r="J106" s="160">
        <f t="shared" si="18"/>
        <v>0</v>
      </c>
      <c r="K106" s="160"/>
      <c r="L106" s="316"/>
      <c r="M106" s="160">
        <f t="shared" si="9"/>
        <v>0</v>
      </c>
      <c r="N106" s="316"/>
      <c r="O106" s="160">
        <f t="shared" si="10"/>
        <v>0</v>
      </c>
      <c r="P106" s="160">
        <f t="shared" si="11"/>
        <v>0</v>
      </c>
      <c r="Q106" s="1"/>
      <c r="R106" s="1"/>
      <c r="S106" s="1"/>
      <c r="T106" s="1"/>
      <c r="U106" s="1"/>
    </row>
    <row r="107" spans="1:21">
      <c r="B107" t="str">
        <f t="shared" si="12"/>
        <v/>
      </c>
      <c r="C107" s="155">
        <f>IF(D94="","-",+C106+1)</f>
        <v>2021</v>
      </c>
      <c r="D107" s="156">
        <f>IF(F106+SUM(E$100:E106)=D$93,F106,D$93-SUM(E$100:E106))</f>
        <v>17236190.860294122</v>
      </c>
      <c r="E107" s="402">
        <f t="shared" si="13"/>
        <v>562294.02777777775</v>
      </c>
      <c r="F107" s="161">
        <f t="shared" si="14"/>
        <v>16673896.832516344</v>
      </c>
      <c r="G107" s="161">
        <f t="shared" si="15"/>
        <v>16955043.846405234</v>
      </c>
      <c r="H107" s="403">
        <f t="shared" si="16"/>
        <v>2352109.9807866472</v>
      </c>
      <c r="I107" s="404">
        <f t="shared" si="17"/>
        <v>2352109.9807866472</v>
      </c>
      <c r="J107" s="160">
        <f t="shared" si="18"/>
        <v>0</v>
      </c>
      <c r="K107" s="160"/>
      <c r="L107" s="316"/>
      <c r="M107" s="160">
        <f t="shared" si="9"/>
        <v>0</v>
      </c>
      <c r="N107" s="316"/>
      <c r="O107" s="160">
        <f t="shared" si="10"/>
        <v>0</v>
      </c>
      <c r="P107" s="160">
        <f t="shared" si="11"/>
        <v>0</v>
      </c>
      <c r="Q107" s="1"/>
      <c r="R107" s="1"/>
      <c r="S107" s="1"/>
      <c r="T107" s="1"/>
      <c r="U107" s="1"/>
    </row>
    <row r="108" spans="1:21">
      <c r="B108" t="str">
        <f t="shared" si="12"/>
        <v/>
      </c>
      <c r="C108" s="155">
        <f>IF(D94="","-",+C107+1)</f>
        <v>2022</v>
      </c>
      <c r="D108" s="156">
        <f>IF(F107+SUM(E$100:E107)=D$93,F107,D$93-SUM(E$100:E107))</f>
        <v>16673896.832516344</v>
      </c>
      <c r="E108" s="402">
        <f t="shared" si="13"/>
        <v>562294.02777777775</v>
      </c>
      <c r="F108" s="161">
        <f t="shared" si="14"/>
        <v>16111602.804738566</v>
      </c>
      <c r="G108" s="161">
        <f t="shared" si="15"/>
        <v>16392749.818627454</v>
      </c>
      <c r="H108" s="403">
        <f t="shared" si="16"/>
        <v>2292752.8461006368</v>
      </c>
      <c r="I108" s="404">
        <f t="shared" si="17"/>
        <v>2292752.8461006368</v>
      </c>
      <c r="J108" s="160">
        <f t="shared" si="18"/>
        <v>0</v>
      </c>
      <c r="K108" s="160"/>
      <c r="L108" s="316"/>
      <c r="M108" s="160">
        <f t="shared" si="9"/>
        <v>0</v>
      </c>
      <c r="N108" s="316"/>
      <c r="O108" s="160">
        <f t="shared" si="10"/>
        <v>0</v>
      </c>
      <c r="P108" s="160">
        <f t="shared" si="11"/>
        <v>0</v>
      </c>
      <c r="Q108" s="1"/>
      <c r="R108" s="1"/>
      <c r="S108" s="1"/>
      <c r="T108" s="1"/>
      <c r="U108" s="1"/>
    </row>
    <row r="109" spans="1:21">
      <c r="B109" t="str">
        <f t="shared" si="12"/>
        <v/>
      </c>
      <c r="C109" s="155">
        <f>IF(D94="","-",+C108+1)</f>
        <v>2023</v>
      </c>
      <c r="D109" s="156">
        <f>IF(F108+SUM(E$100:E108)=D$93,F108,D$93-SUM(E$100:E108))</f>
        <v>16111602.804738566</v>
      </c>
      <c r="E109" s="402">
        <f t="shared" si="13"/>
        <v>562294.02777777775</v>
      </c>
      <c r="F109" s="161">
        <f t="shared" si="14"/>
        <v>15549308.776960788</v>
      </c>
      <c r="G109" s="161">
        <f t="shared" si="15"/>
        <v>15830455.790849678</v>
      </c>
      <c r="H109" s="403">
        <f t="shared" si="16"/>
        <v>2233395.7114146273</v>
      </c>
      <c r="I109" s="404">
        <f t="shared" si="17"/>
        <v>2233395.7114146273</v>
      </c>
      <c r="J109" s="160">
        <f t="shared" si="18"/>
        <v>0</v>
      </c>
      <c r="K109" s="160"/>
      <c r="L109" s="316"/>
      <c r="M109" s="160">
        <f t="shared" si="9"/>
        <v>0</v>
      </c>
      <c r="N109" s="316"/>
      <c r="O109" s="160">
        <f t="shared" si="10"/>
        <v>0</v>
      </c>
      <c r="P109" s="160">
        <f t="shared" si="11"/>
        <v>0</v>
      </c>
      <c r="Q109" s="1"/>
      <c r="R109" s="1"/>
      <c r="S109" s="1"/>
      <c r="T109" s="1"/>
      <c r="U109" s="1"/>
    </row>
    <row r="110" spans="1:21">
      <c r="B110" t="str">
        <f t="shared" si="12"/>
        <v/>
      </c>
      <c r="C110" s="155">
        <f>IF(D94="","-",+C109+1)</f>
        <v>2024</v>
      </c>
      <c r="D110" s="156">
        <f>IF(F109+SUM(E$100:E109)=D$93,F109,D$93-SUM(E$100:E109))</f>
        <v>15549308.776960788</v>
      </c>
      <c r="E110" s="402">
        <f t="shared" si="13"/>
        <v>562294.02777777775</v>
      </c>
      <c r="F110" s="161">
        <f t="shared" si="14"/>
        <v>14987014.74918301</v>
      </c>
      <c r="G110" s="161">
        <f t="shared" si="15"/>
        <v>15268161.763071898</v>
      </c>
      <c r="H110" s="403">
        <f t="shared" si="16"/>
        <v>2174038.5767286168</v>
      </c>
      <c r="I110" s="404">
        <f t="shared" si="17"/>
        <v>2174038.5767286168</v>
      </c>
      <c r="J110" s="160">
        <f t="shared" si="18"/>
        <v>0</v>
      </c>
      <c r="K110" s="160"/>
      <c r="L110" s="316"/>
      <c r="M110" s="160">
        <f t="shared" si="9"/>
        <v>0</v>
      </c>
      <c r="N110" s="316"/>
      <c r="O110" s="160">
        <f t="shared" si="10"/>
        <v>0</v>
      </c>
      <c r="P110" s="160">
        <f t="shared" si="11"/>
        <v>0</v>
      </c>
      <c r="Q110" s="1"/>
      <c r="R110" s="1"/>
      <c r="S110" s="1"/>
      <c r="T110" s="1"/>
      <c r="U110" s="1"/>
    </row>
    <row r="111" spans="1:21">
      <c r="B111" t="str">
        <f t="shared" si="12"/>
        <v/>
      </c>
      <c r="C111" s="155">
        <f>IF(D94="","-",+C110+1)</f>
        <v>2025</v>
      </c>
      <c r="D111" s="156">
        <f>IF(F110+SUM(E$100:E110)=D$93,F110,D$93-SUM(E$100:E110))</f>
        <v>14987014.74918301</v>
      </c>
      <c r="E111" s="402">
        <f t="shared" si="13"/>
        <v>562294.02777777775</v>
      </c>
      <c r="F111" s="161">
        <f t="shared" si="14"/>
        <v>14424720.721405232</v>
      </c>
      <c r="G111" s="161">
        <f t="shared" si="15"/>
        <v>14705867.735294122</v>
      </c>
      <c r="H111" s="403">
        <f t="shared" si="16"/>
        <v>2114681.4420426073</v>
      </c>
      <c r="I111" s="404">
        <f t="shared" si="17"/>
        <v>2114681.4420426073</v>
      </c>
      <c r="J111" s="160">
        <f t="shared" si="18"/>
        <v>0</v>
      </c>
      <c r="K111" s="160"/>
      <c r="L111" s="316"/>
      <c r="M111" s="160">
        <f t="shared" si="9"/>
        <v>0</v>
      </c>
      <c r="N111" s="316"/>
      <c r="O111" s="160">
        <f t="shared" si="10"/>
        <v>0</v>
      </c>
      <c r="P111" s="160">
        <f t="shared" si="11"/>
        <v>0</v>
      </c>
      <c r="Q111" s="1"/>
      <c r="R111" s="1"/>
      <c r="S111" s="1"/>
      <c r="T111" s="1"/>
      <c r="U111" s="1"/>
    </row>
    <row r="112" spans="1:21">
      <c r="B112" t="str">
        <f t="shared" si="12"/>
        <v/>
      </c>
      <c r="C112" s="155">
        <f>IF(D94="","-",+C111+1)</f>
        <v>2026</v>
      </c>
      <c r="D112" s="156">
        <f>IF(F111+SUM(E$100:E111)=D$93,F111,D$93-SUM(E$100:E111))</f>
        <v>14424720.721405232</v>
      </c>
      <c r="E112" s="402">
        <f t="shared" si="13"/>
        <v>562294.02777777775</v>
      </c>
      <c r="F112" s="161">
        <f t="shared" si="14"/>
        <v>13862426.693627454</v>
      </c>
      <c r="G112" s="161">
        <f t="shared" si="15"/>
        <v>14143573.707516342</v>
      </c>
      <c r="H112" s="403">
        <f t="shared" si="16"/>
        <v>2055324.3073565972</v>
      </c>
      <c r="I112" s="404">
        <f t="shared" si="17"/>
        <v>2055324.3073565972</v>
      </c>
      <c r="J112" s="160">
        <f t="shared" si="18"/>
        <v>0</v>
      </c>
      <c r="K112" s="160"/>
      <c r="L112" s="316"/>
      <c r="M112" s="160">
        <f t="shared" si="9"/>
        <v>0</v>
      </c>
      <c r="N112" s="316"/>
      <c r="O112" s="160">
        <f t="shared" si="10"/>
        <v>0</v>
      </c>
      <c r="P112" s="160">
        <f t="shared" si="11"/>
        <v>0</v>
      </c>
      <c r="Q112" s="1"/>
      <c r="R112" s="1"/>
      <c r="S112" s="1"/>
      <c r="T112" s="1"/>
      <c r="U112" s="1"/>
    </row>
    <row r="113" spans="2:21">
      <c r="B113" t="str">
        <f t="shared" si="12"/>
        <v/>
      </c>
      <c r="C113" s="155">
        <f>IF(D94="","-",+C112+1)</f>
        <v>2027</v>
      </c>
      <c r="D113" s="156">
        <f>IF(F112+SUM(E$100:E112)=D$93,F112,D$93-SUM(E$100:E112))</f>
        <v>13862426.693627454</v>
      </c>
      <c r="E113" s="402">
        <f t="shared" si="13"/>
        <v>562294.02777777775</v>
      </c>
      <c r="F113" s="161">
        <f t="shared" si="14"/>
        <v>13300132.665849676</v>
      </c>
      <c r="G113" s="161">
        <f t="shared" si="15"/>
        <v>13581279.679738566</v>
      </c>
      <c r="H113" s="403">
        <f t="shared" si="16"/>
        <v>1995967.1726705874</v>
      </c>
      <c r="I113" s="404">
        <f t="shared" si="17"/>
        <v>1995967.1726705874</v>
      </c>
      <c r="J113" s="160">
        <f t="shared" si="18"/>
        <v>0</v>
      </c>
      <c r="K113" s="160"/>
      <c r="L113" s="316"/>
      <c r="M113" s="160">
        <f t="shared" si="9"/>
        <v>0</v>
      </c>
      <c r="N113" s="316"/>
      <c r="O113" s="160">
        <f t="shared" si="10"/>
        <v>0</v>
      </c>
      <c r="P113" s="160">
        <f t="shared" si="11"/>
        <v>0</v>
      </c>
      <c r="Q113" s="1"/>
      <c r="R113" s="1"/>
      <c r="S113" s="1"/>
      <c r="T113" s="1"/>
      <c r="U113" s="1"/>
    </row>
    <row r="114" spans="2:21">
      <c r="B114" t="str">
        <f t="shared" si="12"/>
        <v/>
      </c>
      <c r="C114" s="155">
        <f>IF(D94="","-",+C113+1)</f>
        <v>2028</v>
      </c>
      <c r="D114" s="156">
        <f>IF(F113+SUM(E$100:E113)=D$93,F113,D$93-SUM(E$100:E113))</f>
        <v>13300132.665849676</v>
      </c>
      <c r="E114" s="402">
        <f t="shared" si="13"/>
        <v>562294.02777777775</v>
      </c>
      <c r="F114" s="161">
        <f t="shared" si="14"/>
        <v>12737838.638071898</v>
      </c>
      <c r="G114" s="161">
        <f t="shared" si="15"/>
        <v>13018985.651960786</v>
      </c>
      <c r="H114" s="403">
        <f t="shared" si="16"/>
        <v>1936610.0379845775</v>
      </c>
      <c r="I114" s="404">
        <f t="shared" si="17"/>
        <v>1936610.0379845775</v>
      </c>
      <c r="J114" s="160">
        <f t="shared" si="18"/>
        <v>0</v>
      </c>
      <c r="K114" s="160"/>
      <c r="L114" s="316"/>
      <c r="M114" s="160">
        <f t="shared" si="9"/>
        <v>0</v>
      </c>
      <c r="N114" s="316"/>
      <c r="O114" s="160">
        <f t="shared" si="10"/>
        <v>0</v>
      </c>
      <c r="P114" s="160">
        <f t="shared" si="11"/>
        <v>0</v>
      </c>
      <c r="Q114" s="1"/>
      <c r="R114" s="1"/>
      <c r="S114" s="1"/>
      <c r="T114" s="1"/>
      <c r="U114" s="1"/>
    </row>
    <row r="115" spans="2:21">
      <c r="B115" t="str">
        <f t="shared" si="12"/>
        <v/>
      </c>
      <c r="C115" s="155">
        <f>IF(D94="","-",+C114+1)</f>
        <v>2029</v>
      </c>
      <c r="D115" s="156">
        <f>IF(F114+SUM(E$100:E114)=D$93,F114,D$93-SUM(E$100:E114))</f>
        <v>12737838.638071898</v>
      </c>
      <c r="E115" s="402">
        <f t="shared" si="13"/>
        <v>562294.02777777775</v>
      </c>
      <c r="F115" s="161">
        <f t="shared" si="14"/>
        <v>12175544.61029412</v>
      </c>
      <c r="G115" s="161">
        <f t="shared" si="15"/>
        <v>12456691.62418301</v>
      </c>
      <c r="H115" s="403">
        <f t="shared" si="16"/>
        <v>1877252.9032985677</v>
      </c>
      <c r="I115" s="404">
        <f t="shared" si="17"/>
        <v>1877252.9032985677</v>
      </c>
      <c r="J115" s="160">
        <f t="shared" si="18"/>
        <v>0</v>
      </c>
      <c r="K115" s="160"/>
      <c r="L115" s="316"/>
      <c r="M115" s="160">
        <f t="shared" si="9"/>
        <v>0</v>
      </c>
      <c r="N115" s="316"/>
      <c r="O115" s="160">
        <f t="shared" si="10"/>
        <v>0</v>
      </c>
      <c r="P115" s="160">
        <f t="shared" si="11"/>
        <v>0</v>
      </c>
      <c r="Q115" s="1"/>
      <c r="R115" s="1"/>
      <c r="S115" s="1"/>
      <c r="T115" s="1"/>
      <c r="U115" s="1"/>
    </row>
    <row r="116" spans="2:21">
      <c r="B116" t="str">
        <f t="shared" si="12"/>
        <v/>
      </c>
      <c r="C116" s="155">
        <f>IF(D94="","-",+C115+1)</f>
        <v>2030</v>
      </c>
      <c r="D116" s="156">
        <f>IF(F115+SUM(E$100:E115)=D$93,F115,D$93-SUM(E$100:E115))</f>
        <v>12175544.61029412</v>
      </c>
      <c r="E116" s="402">
        <f t="shared" si="13"/>
        <v>562294.02777777775</v>
      </c>
      <c r="F116" s="161">
        <f t="shared" si="14"/>
        <v>11613250.582516342</v>
      </c>
      <c r="G116" s="161">
        <f t="shared" si="15"/>
        <v>11894397.59640523</v>
      </c>
      <c r="H116" s="403">
        <f t="shared" si="16"/>
        <v>1817895.7686125576</v>
      </c>
      <c r="I116" s="404">
        <f t="shared" si="17"/>
        <v>1817895.7686125576</v>
      </c>
      <c r="J116" s="160">
        <f t="shared" si="18"/>
        <v>0</v>
      </c>
      <c r="K116" s="160"/>
      <c r="L116" s="316"/>
      <c r="M116" s="160">
        <f t="shared" si="9"/>
        <v>0</v>
      </c>
      <c r="N116" s="316"/>
      <c r="O116" s="160">
        <f t="shared" si="10"/>
        <v>0</v>
      </c>
      <c r="P116" s="160">
        <f t="shared" si="11"/>
        <v>0</v>
      </c>
      <c r="Q116" s="1"/>
      <c r="R116" s="1"/>
      <c r="S116" s="1"/>
      <c r="T116" s="1"/>
      <c r="U116" s="1"/>
    </row>
    <row r="117" spans="2:21">
      <c r="B117" t="str">
        <f t="shared" si="12"/>
        <v/>
      </c>
      <c r="C117" s="155">
        <f>IF(D94="","-",+C116+1)</f>
        <v>2031</v>
      </c>
      <c r="D117" s="156">
        <f>IF(F116+SUM(E$100:E116)=D$93,F116,D$93-SUM(E$100:E116))</f>
        <v>11613250.582516342</v>
      </c>
      <c r="E117" s="402">
        <f t="shared" si="13"/>
        <v>562294.02777777775</v>
      </c>
      <c r="F117" s="161">
        <f t="shared" si="14"/>
        <v>11050956.554738564</v>
      </c>
      <c r="G117" s="161">
        <f t="shared" si="15"/>
        <v>11332103.568627454</v>
      </c>
      <c r="H117" s="403">
        <f t="shared" si="16"/>
        <v>1758538.6339265478</v>
      </c>
      <c r="I117" s="404">
        <f t="shared" si="17"/>
        <v>1758538.6339265478</v>
      </c>
      <c r="J117" s="160">
        <f t="shared" si="18"/>
        <v>0</v>
      </c>
      <c r="K117" s="160"/>
      <c r="L117" s="316"/>
      <c r="M117" s="160">
        <f t="shared" si="9"/>
        <v>0</v>
      </c>
      <c r="N117" s="316"/>
      <c r="O117" s="160">
        <f t="shared" si="10"/>
        <v>0</v>
      </c>
      <c r="P117" s="160">
        <f t="shared" si="11"/>
        <v>0</v>
      </c>
      <c r="Q117" s="1"/>
      <c r="R117" s="1"/>
      <c r="S117" s="1"/>
      <c r="T117" s="1"/>
      <c r="U117" s="1"/>
    </row>
    <row r="118" spans="2:21">
      <c r="B118" t="str">
        <f t="shared" si="12"/>
        <v/>
      </c>
      <c r="C118" s="155">
        <f>IF(D94="","-",+C117+1)</f>
        <v>2032</v>
      </c>
      <c r="D118" s="156">
        <f>IF(F117+SUM(E$100:E117)=D$93,F117,D$93-SUM(E$100:E117))</f>
        <v>11050956.554738564</v>
      </c>
      <c r="E118" s="402">
        <f t="shared" si="13"/>
        <v>562294.02777777775</v>
      </c>
      <c r="F118" s="161">
        <f t="shared" si="14"/>
        <v>10488662.526960786</v>
      </c>
      <c r="G118" s="161">
        <f t="shared" si="15"/>
        <v>10769809.540849674</v>
      </c>
      <c r="H118" s="403">
        <f t="shared" si="16"/>
        <v>1699181.4992405376</v>
      </c>
      <c r="I118" s="404">
        <f t="shared" si="17"/>
        <v>1699181.4992405376</v>
      </c>
      <c r="J118" s="160">
        <f t="shared" si="18"/>
        <v>0</v>
      </c>
      <c r="K118" s="160"/>
      <c r="L118" s="316"/>
      <c r="M118" s="160">
        <f t="shared" si="9"/>
        <v>0</v>
      </c>
      <c r="N118" s="316"/>
      <c r="O118" s="160">
        <f t="shared" si="10"/>
        <v>0</v>
      </c>
      <c r="P118" s="160">
        <f t="shared" si="11"/>
        <v>0</v>
      </c>
      <c r="Q118" s="1"/>
      <c r="R118" s="1"/>
      <c r="S118" s="1"/>
      <c r="T118" s="1"/>
      <c r="U118" s="1"/>
    </row>
    <row r="119" spans="2:21">
      <c r="B119" t="str">
        <f t="shared" si="12"/>
        <v/>
      </c>
      <c r="C119" s="155">
        <f>IF(D94="","-",+C118+1)</f>
        <v>2033</v>
      </c>
      <c r="D119" s="156">
        <f>IF(F118+SUM(E$100:E118)=D$93,F118,D$93-SUM(E$100:E118))</f>
        <v>10488662.526960786</v>
      </c>
      <c r="E119" s="402">
        <f t="shared" si="13"/>
        <v>562294.02777777775</v>
      </c>
      <c r="F119" s="161">
        <f t="shared" si="14"/>
        <v>9926368.4991830084</v>
      </c>
      <c r="G119" s="161">
        <f t="shared" si="15"/>
        <v>10207515.513071898</v>
      </c>
      <c r="H119" s="403">
        <f t="shared" si="16"/>
        <v>1639824.3645545279</v>
      </c>
      <c r="I119" s="404">
        <f t="shared" si="17"/>
        <v>1639824.3645545279</v>
      </c>
      <c r="J119" s="160">
        <f t="shared" si="18"/>
        <v>0</v>
      </c>
      <c r="K119" s="160"/>
      <c r="L119" s="316"/>
      <c r="M119" s="160">
        <f t="shared" si="9"/>
        <v>0</v>
      </c>
      <c r="N119" s="316"/>
      <c r="O119" s="160">
        <f t="shared" si="10"/>
        <v>0</v>
      </c>
      <c r="P119" s="160">
        <f t="shared" si="11"/>
        <v>0</v>
      </c>
      <c r="Q119" s="1"/>
      <c r="R119" s="1"/>
      <c r="S119" s="1"/>
      <c r="T119" s="1"/>
      <c r="U119" s="1"/>
    </row>
    <row r="120" spans="2:21">
      <c r="B120" t="str">
        <f t="shared" si="12"/>
        <v/>
      </c>
      <c r="C120" s="155">
        <f>IF(D94="","-",+C119+1)</f>
        <v>2034</v>
      </c>
      <c r="D120" s="156">
        <f>IF(F119+SUM(E$100:E119)=D$93,F119,D$93-SUM(E$100:E119))</f>
        <v>9926368.4991830084</v>
      </c>
      <c r="E120" s="402">
        <f t="shared" si="13"/>
        <v>562294.02777777775</v>
      </c>
      <c r="F120" s="161">
        <f t="shared" si="14"/>
        <v>9364074.4714052305</v>
      </c>
      <c r="G120" s="161">
        <f t="shared" si="15"/>
        <v>9645221.4852941185</v>
      </c>
      <c r="H120" s="403">
        <f t="shared" si="16"/>
        <v>1580467.2298685177</v>
      </c>
      <c r="I120" s="404">
        <f t="shared" si="17"/>
        <v>1580467.2298685177</v>
      </c>
      <c r="J120" s="160">
        <f t="shared" si="18"/>
        <v>0</v>
      </c>
      <c r="K120" s="160"/>
      <c r="L120" s="316"/>
      <c r="M120" s="160">
        <f t="shared" si="9"/>
        <v>0</v>
      </c>
      <c r="N120" s="316"/>
      <c r="O120" s="160">
        <f t="shared" si="10"/>
        <v>0</v>
      </c>
      <c r="P120" s="160">
        <f t="shared" si="11"/>
        <v>0</v>
      </c>
      <c r="Q120" s="1"/>
      <c r="R120" s="1"/>
      <c r="S120" s="1"/>
      <c r="T120" s="1"/>
      <c r="U120" s="1"/>
    </row>
    <row r="121" spans="2:21">
      <c r="B121" t="str">
        <f t="shared" si="12"/>
        <v/>
      </c>
      <c r="C121" s="155">
        <f>IF(D94="","-",+C120+1)</f>
        <v>2035</v>
      </c>
      <c r="D121" s="156">
        <f>IF(F120+SUM(E$100:E120)=D$93,F120,D$93-SUM(E$100:E120))</f>
        <v>9364074.4714052305</v>
      </c>
      <c r="E121" s="402">
        <f t="shared" si="13"/>
        <v>562294.02777777775</v>
      </c>
      <c r="F121" s="161">
        <f t="shared" si="14"/>
        <v>8801780.4436274525</v>
      </c>
      <c r="G121" s="161">
        <f t="shared" si="15"/>
        <v>9082927.4575163424</v>
      </c>
      <c r="H121" s="403">
        <f t="shared" si="16"/>
        <v>1521110.0951825082</v>
      </c>
      <c r="I121" s="404">
        <f t="shared" si="17"/>
        <v>1521110.0951825082</v>
      </c>
      <c r="J121" s="160">
        <f t="shared" si="18"/>
        <v>0</v>
      </c>
      <c r="K121" s="160"/>
      <c r="L121" s="316"/>
      <c r="M121" s="160">
        <f t="shared" si="9"/>
        <v>0</v>
      </c>
      <c r="N121" s="316"/>
      <c r="O121" s="160">
        <f t="shared" si="10"/>
        <v>0</v>
      </c>
      <c r="P121" s="160">
        <f t="shared" si="11"/>
        <v>0</v>
      </c>
      <c r="Q121" s="1"/>
      <c r="R121" s="1"/>
      <c r="S121" s="1"/>
      <c r="T121" s="1"/>
      <c r="U121" s="1"/>
    </row>
    <row r="122" spans="2:21">
      <c r="B122" t="str">
        <f t="shared" si="12"/>
        <v/>
      </c>
      <c r="C122" s="155">
        <f>IF(D94="","-",+C121+1)</f>
        <v>2036</v>
      </c>
      <c r="D122" s="156">
        <f>IF(F121+SUM(E$100:E121)=D$93,F121,D$93-SUM(E$100:E121))</f>
        <v>8801780.4436274525</v>
      </c>
      <c r="E122" s="402">
        <f t="shared" si="13"/>
        <v>562294.02777777775</v>
      </c>
      <c r="F122" s="161">
        <f t="shared" si="14"/>
        <v>8239486.4158496745</v>
      </c>
      <c r="G122" s="161">
        <f t="shared" si="15"/>
        <v>8520633.4297385626</v>
      </c>
      <c r="H122" s="403">
        <f t="shared" si="16"/>
        <v>1461752.9604964978</v>
      </c>
      <c r="I122" s="404">
        <f t="shared" si="17"/>
        <v>1461752.9604964978</v>
      </c>
      <c r="J122" s="160">
        <f t="shared" si="18"/>
        <v>0</v>
      </c>
      <c r="K122" s="160"/>
      <c r="L122" s="316"/>
      <c r="M122" s="160">
        <f t="shared" si="9"/>
        <v>0</v>
      </c>
      <c r="N122" s="316"/>
      <c r="O122" s="160">
        <f t="shared" si="10"/>
        <v>0</v>
      </c>
      <c r="P122" s="160">
        <f t="shared" si="11"/>
        <v>0</v>
      </c>
      <c r="Q122" s="1"/>
      <c r="R122" s="1"/>
      <c r="S122" s="1"/>
      <c r="T122" s="1"/>
      <c r="U122" s="1"/>
    </row>
    <row r="123" spans="2:21">
      <c r="B123" t="str">
        <f t="shared" si="12"/>
        <v/>
      </c>
      <c r="C123" s="155">
        <f>IF(D94="","-",+C122+1)</f>
        <v>2037</v>
      </c>
      <c r="D123" s="156">
        <f>IF(F122+SUM(E$100:E122)=D$93,F122,D$93-SUM(E$100:E122))</f>
        <v>8239486.4158496745</v>
      </c>
      <c r="E123" s="402">
        <f t="shared" si="13"/>
        <v>562294.02777777775</v>
      </c>
      <c r="F123" s="161">
        <f t="shared" si="14"/>
        <v>7677192.3880718965</v>
      </c>
      <c r="G123" s="161">
        <f t="shared" si="15"/>
        <v>7958339.4019607855</v>
      </c>
      <c r="H123" s="403">
        <f t="shared" si="16"/>
        <v>1402395.8258104881</v>
      </c>
      <c r="I123" s="404">
        <f t="shared" si="17"/>
        <v>1402395.8258104881</v>
      </c>
      <c r="J123" s="160">
        <f t="shared" si="18"/>
        <v>0</v>
      </c>
      <c r="K123" s="160"/>
      <c r="L123" s="316"/>
      <c r="M123" s="160">
        <f t="shared" si="9"/>
        <v>0</v>
      </c>
      <c r="N123" s="316"/>
      <c r="O123" s="160">
        <f t="shared" si="10"/>
        <v>0</v>
      </c>
      <c r="P123" s="160">
        <f t="shared" si="11"/>
        <v>0</v>
      </c>
      <c r="Q123" s="1"/>
      <c r="R123" s="1"/>
      <c r="S123" s="1"/>
      <c r="T123" s="1"/>
      <c r="U123" s="1"/>
    </row>
    <row r="124" spans="2:21">
      <c r="B124" t="str">
        <f t="shared" si="12"/>
        <v/>
      </c>
      <c r="C124" s="155">
        <f>IF(D94="","-",+C123+1)</f>
        <v>2038</v>
      </c>
      <c r="D124" s="156">
        <f>IF(F123+SUM(E$100:E123)=D$93,F123,D$93-SUM(E$100:E123))</f>
        <v>7677192.3880718965</v>
      </c>
      <c r="E124" s="402">
        <f t="shared" si="13"/>
        <v>562294.02777777775</v>
      </c>
      <c r="F124" s="161">
        <f t="shared" si="14"/>
        <v>7114898.3602941185</v>
      </c>
      <c r="G124" s="161">
        <f t="shared" si="15"/>
        <v>7396045.3741830075</v>
      </c>
      <c r="H124" s="403">
        <f t="shared" si="16"/>
        <v>1343038.6911244784</v>
      </c>
      <c r="I124" s="404">
        <f t="shared" si="17"/>
        <v>1343038.6911244784</v>
      </c>
      <c r="J124" s="160">
        <f t="shared" si="18"/>
        <v>0</v>
      </c>
      <c r="K124" s="160"/>
      <c r="L124" s="316"/>
      <c r="M124" s="160">
        <f t="shared" si="9"/>
        <v>0</v>
      </c>
      <c r="N124" s="316"/>
      <c r="O124" s="160">
        <f t="shared" si="10"/>
        <v>0</v>
      </c>
      <c r="P124" s="160">
        <f t="shared" si="11"/>
        <v>0</v>
      </c>
      <c r="Q124" s="1"/>
      <c r="R124" s="1"/>
      <c r="S124" s="1"/>
      <c r="T124" s="1"/>
      <c r="U124" s="1"/>
    </row>
    <row r="125" spans="2:21">
      <c r="B125" t="str">
        <f t="shared" si="12"/>
        <v/>
      </c>
      <c r="C125" s="155">
        <f>IF(D94="","-",+C124+1)</f>
        <v>2039</v>
      </c>
      <c r="D125" s="156">
        <f>IF(F124+SUM(E$100:E124)=D$93,F124,D$93-SUM(E$100:E124))</f>
        <v>7114898.3602941185</v>
      </c>
      <c r="E125" s="402">
        <f t="shared" si="13"/>
        <v>562294.02777777775</v>
      </c>
      <c r="F125" s="161">
        <f t="shared" si="14"/>
        <v>6552604.3325163405</v>
      </c>
      <c r="G125" s="161">
        <f t="shared" si="15"/>
        <v>6833751.3464052295</v>
      </c>
      <c r="H125" s="403">
        <f t="shared" si="16"/>
        <v>1283681.5564384684</v>
      </c>
      <c r="I125" s="404">
        <f t="shared" si="17"/>
        <v>1283681.5564384684</v>
      </c>
      <c r="J125" s="160">
        <f t="shared" si="18"/>
        <v>0</v>
      </c>
      <c r="K125" s="160"/>
      <c r="L125" s="316"/>
      <c r="M125" s="160">
        <f t="shared" si="9"/>
        <v>0</v>
      </c>
      <c r="N125" s="316"/>
      <c r="O125" s="160">
        <f t="shared" si="10"/>
        <v>0</v>
      </c>
      <c r="P125" s="160">
        <f t="shared" si="11"/>
        <v>0</v>
      </c>
      <c r="Q125" s="1"/>
      <c r="R125" s="1"/>
      <c r="S125" s="1"/>
      <c r="T125" s="1"/>
      <c r="U125" s="1"/>
    </row>
    <row r="126" spans="2:21">
      <c r="B126" t="str">
        <f t="shared" si="12"/>
        <v/>
      </c>
      <c r="C126" s="155">
        <f>IF(D94="","-",+C125+1)</f>
        <v>2040</v>
      </c>
      <c r="D126" s="156">
        <f>IF(F125+SUM(E$100:E125)=D$93,F125,D$93-SUM(E$100:E125))</f>
        <v>6552604.3325163405</v>
      </c>
      <c r="E126" s="402">
        <f t="shared" si="13"/>
        <v>562294.02777777775</v>
      </c>
      <c r="F126" s="161">
        <f t="shared" si="14"/>
        <v>5990310.3047385626</v>
      </c>
      <c r="G126" s="161">
        <f t="shared" si="15"/>
        <v>6271457.3186274515</v>
      </c>
      <c r="H126" s="403">
        <f t="shared" si="16"/>
        <v>1224324.4217524584</v>
      </c>
      <c r="I126" s="404">
        <f t="shared" si="17"/>
        <v>1224324.4217524584</v>
      </c>
      <c r="J126" s="160">
        <f t="shared" si="18"/>
        <v>0</v>
      </c>
      <c r="K126" s="160"/>
      <c r="L126" s="316"/>
      <c r="M126" s="160">
        <f t="shared" si="9"/>
        <v>0</v>
      </c>
      <c r="N126" s="316"/>
      <c r="O126" s="160">
        <f t="shared" si="10"/>
        <v>0</v>
      </c>
      <c r="P126" s="160">
        <f t="shared" si="11"/>
        <v>0</v>
      </c>
      <c r="Q126" s="1"/>
      <c r="R126" s="1"/>
      <c r="S126" s="1"/>
      <c r="T126" s="1"/>
      <c r="U126" s="1"/>
    </row>
    <row r="127" spans="2:21">
      <c r="B127" t="str">
        <f t="shared" si="12"/>
        <v/>
      </c>
      <c r="C127" s="155">
        <f>IF(D94="","-",+C126+1)</f>
        <v>2041</v>
      </c>
      <c r="D127" s="156">
        <f>IF(F126+SUM(E$100:E126)=D$93,F126,D$93-SUM(E$100:E126))</f>
        <v>5990310.3047385626</v>
      </c>
      <c r="E127" s="402">
        <f t="shared" si="13"/>
        <v>562294.02777777775</v>
      </c>
      <c r="F127" s="161">
        <f t="shared" si="14"/>
        <v>5428016.2769607846</v>
      </c>
      <c r="G127" s="161">
        <f t="shared" si="15"/>
        <v>5709163.2908496736</v>
      </c>
      <c r="H127" s="403">
        <f t="shared" si="16"/>
        <v>1164967.2870664485</v>
      </c>
      <c r="I127" s="404">
        <f t="shared" si="17"/>
        <v>1164967.2870664485</v>
      </c>
      <c r="J127" s="160">
        <f t="shared" si="18"/>
        <v>0</v>
      </c>
      <c r="K127" s="160"/>
      <c r="L127" s="316"/>
      <c r="M127" s="160">
        <f t="shared" si="9"/>
        <v>0</v>
      </c>
      <c r="N127" s="316"/>
      <c r="O127" s="160">
        <f t="shared" si="10"/>
        <v>0</v>
      </c>
      <c r="P127" s="160">
        <f t="shared" si="11"/>
        <v>0</v>
      </c>
      <c r="Q127" s="1"/>
      <c r="R127" s="1"/>
      <c r="S127" s="1"/>
      <c r="T127" s="1"/>
      <c r="U127" s="1"/>
    </row>
    <row r="128" spans="2:21">
      <c r="B128" t="str">
        <f t="shared" si="12"/>
        <v/>
      </c>
      <c r="C128" s="155">
        <f>IF(D94="","-",+C127+1)</f>
        <v>2042</v>
      </c>
      <c r="D128" s="156">
        <f>IF(F127+SUM(E$100:E127)=D$93,F127,D$93-SUM(E$100:E127))</f>
        <v>5428016.2769607846</v>
      </c>
      <c r="E128" s="402">
        <f t="shared" si="13"/>
        <v>562294.02777777775</v>
      </c>
      <c r="F128" s="161">
        <f t="shared" si="14"/>
        <v>4865722.2491830066</v>
      </c>
      <c r="G128" s="161">
        <f t="shared" si="15"/>
        <v>5146869.2630718956</v>
      </c>
      <c r="H128" s="403">
        <f t="shared" si="16"/>
        <v>1105610.1523804385</v>
      </c>
      <c r="I128" s="404">
        <f t="shared" si="17"/>
        <v>1105610.1523804385</v>
      </c>
      <c r="J128" s="160">
        <f t="shared" si="18"/>
        <v>0</v>
      </c>
      <c r="K128" s="160"/>
      <c r="L128" s="316"/>
      <c r="M128" s="160">
        <f t="shared" si="9"/>
        <v>0</v>
      </c>
      <c r="N128" s="316"/>
      <c r="O128" s="160">
        <f t="shared" si="10"/>
        <v>0</v>
      </c>
      <c r="P128" s="160">
        <f t="shared" si="11"/>
        <v>0</v>
      </c>
      <c r="Q128" s="1"/>
      <c r="R128" s="1"/>
      <c r="S128" s="1"/>
      <c r="T128" s="1"/>
      <c r="U128" s="1"/>
    </row>
    <row r="129" spans="2:21">
      <c r="B129" t="str">
        <f t="shared" si="12"/>
        <v/>
      </c>
      <c r="C129" s="155">
        <f>IF(D94="","-",+C128+1)</f>
        <v>2043</v>
      </c>
      <c r="D129" s="156">
        <f>IF(F128+SUM(E$100:E128)=D$93,F128,D$93-SUM(E$100:E128))</f>
        <v>4865722.2491830066</v>
      </c>
      <c r="E129" s="402">
        <f t="shared" si="13"/>
        <v>562294.02777777775</v>
      </c>
      <c r="F129" s="161">
        <f t="shared" si="14"/>
        <v>4303428.2214052286</v>
      </c>
      <c r="G129" s="161">
        <f t="shared" si="15"/>
        <v>4584575.2352941176</v>
      </c>
      <c r="H129" s="403">
        <f t="shared" si="16"/>
        <v>1046253.0176944286</v>
      </c>
      <c r="I129" s="404">
        <f t="shared" si="17"/>
        <v>1046253.0176944286</v>
      </c>
      <c r="J129" s="160">
        <f t="shared" si="18"/>
        <v>0</v>
      </c>
      <c r="K129" s="160"/>
      <c r="L129" s="316"/>
      <c r="M129" s="160">
        <f t="shared" si="9"/>
        <v>0</v>
      </c>
      <c r="N129" s="316"/>
      <c r="O129" s="160">
        <f t="shared" si="10"/>
        <v>0</v>
      </c>
      <c r="P129" s="160">
        <f t="shared" si="11"/>
        <v>0</v>
      </c>
      <c r="Q129" s="1"/>
      <c r="R129" s="1"/>
      <c r="S129" s="1"/>
      <c r="T129" s="1"/>
      <c r="U129" s="1"/>
    </row>
    <row r="130" spans="2:21">
      <c r="B130" t="str">
        <f t="shared" si="12"/>
        <v/>
      </c>
      <c r="C130" s="155">
        <f>IF(D94="","-",+C129+1)</f>
        <v>2044</v>
      </c>
      <c r="D130" s="156">
        <f>IF(F129+SUM(E$100:E129)=D$93,F129,D$93-SUM(E$100:E129))</f>
        <v>4303428.2214052286</v>
      </c>
      <c r="E130" s="402">
        <f t="shared" si="13"/>
        <v>562294.02777777775</v>
      </c>
      <c r="F130" s="161">
        <f t="shared" si="14"/>
        <v>3741134.1936274506</v>
      </c>
      <c r="G130" s="161">
        <f t="shared" si="15"/>
        <v>4022281.2075163396</v>
      </c>
      <c r="H130" s="403">
        <f t="shared" si="16"/>
        <v>986895.8830084186</v>
      </c>
      <c r="I130" s="404">
        <f t="shared" si="17"/>
        <v>986895.8830084186</v>
      </c>
      <c r="J130" s="160">
        <f t="shared" si="18"/>
        <v>0</v>
      </c>
      <c r="K130" s="160"/>
      <c r="L130" s="316"/>
      <c r="M130" s="160">
        <f t="shared" si="9"/>
        <v>0</v>
      </c>
      <c r="N130" s="316"/>
      <c r="O130" s="160">
        <f t="shared" si="10"/>
        <v>0</v>
      </c>
      <c r="P130" s="160">
        <f t="shared" si="11"/>
        <v>0</v>
      </c>
      <c r="Q130" s="1"/>
      <c r="R130" s="1"/>
      <c r="S130" s="1"/>
      <c r="T130" s="1"/>
      <c r="U130" s="1"/>
    </row>
    <row r="131" spans="2:21">
      <c r="B131" t="str">
        <f t="shared" si="12"/>
        <v/>
      </c>
      <c r="C131" s="155">
        <f>IF(D94="","-",+C130+1)</f>
        <v>2045</v>
      </c>
      <c r="D131" s="156">
        <f>IF(F130+SUM(E$100:E130)=D$93,F130,D$93-SUM(E$100:E130))</f>
        <v>3741134.1936274506</v>
      </c>
      <c r="E131" s="402">
        <f t="shared" si="13"/>
        <v>562294.02777777775</v>
      </c>
      <c r="F131" s="161">
        <f t="shared" si="14"/>
        <v>3178840.1658496726</v>
      </c>
      <c r="G131" s="161">
        <f t="shared" si="15"/>
        <v>3459987.1797385616</v>
      </c>
      <c r="H131" s="403">
        <f t="shared" si="16"/>
        <v>927538.74832240865</v>
      </c>
      <c r="I131" s="404">
        <f t="shared" si="17"/>
        <v>927538.74832240865</v>
      </c>
      <c r="J131" s="160">
        <f t="shared" si="18"/>
        <v>0</v>
      </c>
      <c r="K131" s="160"/>
      <c r="L131" s="316"/>
      <c r="M131" s="160">
        <f t="shared" si="9"/>
        <v>0</v>
      </c>
      <c r="N131" s="316"/>
      <c r="O131" s="160">
        <f t="shared" si="10"/>
        <v>0</v>
      </c>
      <c r="P131" s="160">
        <f t="shared" si="11"/>
        <v>0</v>
      </c>
      <c r="Q131" s="1"/>
      <c r="R131" s="1"/>
      <c r="S131" s="1"/>
      <c r="T131" s="1"/>
      <c r="U131" s="1"/>
    </row>
    <row r="132" spans="2:21">
      <c r="B132" t="str">
        <f t="shared" si="12"/>
        <v/>
      </c>
      <c r="C132" s="155">
        <f>IF(D94="","-",+C131+1)</f>
        <v>2046</v>
      </c>
      <c r="D132" s="156">
        <f>IF(F131+SUM(E$100:E131)=D$93,F131,D$93-SUM(E$100:E131))</f>
        <v>3178840.1658496726</v>
      </c>
      <c r="E132" s="402">
        <f t="shared" si="13"/>
        <v>562294.02777777775</v>
      </c>
      <c r="F132" s="161">
        <f t="shared" si="14"/>
        <v>2616546.1380718946</v>
      </c>
      <c r="G132" s="161">
        <f t="shared" si="15"/>
        <v>2897693.1519607836</v>
      </c>
      <c r="H132" s="403">
        <f t="shared" si="16"/>
        <v>868181.61363639869</v>
      </c>
      <c r="I132" s="404">
        <f t="shared" si="17"/>
        <v>868181.61363639869</v>
      </c>
      <c r="J132" s="160">
        <f t="shared" si="18"/>
        <v>0</v>
      </c>
      <c r="K132" s="160"/>
      <c r="L132" s="316"/>
      <c r="M132" s="160">
        <f t="shared" ref="M132:M155" si="19">IF(L542&lt;&gt;0,+H542-L542,0)</f>
        <v>0</v>
      </c>
      <c r="N132" s="316"/>
      <c r="O132" s="160">
        <f t="shared" ref="O132:O155" si="20">IF(N542&lt;&gt;0,+I542-N542,0)</f>
        <v>0</v>
      </c>
      <c r="P132" s="160">
        <f t="shared" ref="P132:P155" si="21">+O542-M542</f>
        <v>0</v>
      </c>
      <c r="Q132" s="1"/>
      <c r="R132" s="1"/>
      <c r="S132" s="1"/>
      <c r="T132" s="1"/>
      <c r="U132" s="1"/>
    </row>
    <row r="133" spans="2:21">
      <c r="B133" t="str">
        <f t="shared" si="12"/>
        <v/>
      </c>
      <c r="C133" s="155">
        <f>IF(D94="","-",+C132+1)</f>
        <v>2047</v>
      </c>
      <c r="D133" s="156">
        <f>IF(F132+SUM(E$100:E132)=D$93,F132,D$93-SUM(E$100:E132))</f>
        <v>2616546.1380718946</v>
      </c>
      <c r="E133" s="402">
        <f t="shared" si="13"/>
        <v>562294.02777777775</v>
      </c>
      <c r="F133" s="161">
        <f t="shared" si="14"/>
        <v>2054252.1102941169</v>
      </c>
      <c r="G133" s="161">
        <f t="shared" si="15"/>
        <v>2335399.1241830057</v>
      </c>
      <c r="H133" s="403">
        <f t="shared" si="16"/>
        <v>808824.47895038885</v>
      </c>
      <c r="I133" s="404">
        <f t="shared" si="17"/>
        <v>808824.47895038885</v>
      </c>
      <c r="J133" s="160">
        <f t="shared" si="18"/>
        <v>0</v>
      </c>
      <c r="K133" s="160"/>
      <c r="L133" s="316"/>
      <c r="M133" s="160">
        <f t="shared" si="19"/>
        <v>0</v>
      </c>
      <c r="N133" s="316"/>
      <c r="O133" s="160">
        <f t="shared" si="20"/>
        <v>0</v>
      </c>
      <c r="P133" s="160">
        <f t="shared" si="21"/>
        <v>0</v>
      </c>
      <c r="Q133" s="1"/>
      <c r="R133" s="1"/>
      <c r="S133" s="1"/>
      <c r="T133" s="1"/>
      <c r="U133" s="1"/>
    </row>
    <row r="134" spans="2:21">
      <c r="B134" t="str">
        <f t="shared" si="12"/>
        <v/>
      </c>
      <c r="C134" s="155">
        <f>IF(D94="","-",+C133+1)</f>
        <v>2048</v>
      </c>
      <c r="D134" s="156">
        <f>IF(F133+SUM(E$100:E133)=D$93,F133,D$93-SUM(E$100:E133))</f>
        <v>2054252.1102941169</v>
      </c>
      <c r="E134" s="402">
        <f t="shared" si="13"/>
        <v>562294.02777777775</v>
      </c>
      <c r="F134" s="161">
        <f t="shared" si="14"/>
        <v>1491958.0825163391</v>
      </c>
      <c r="G134" s="161">
        <f t="shared" si="15"/>
        <v>1773105.0964052281</v>
      </c>
      <c r="H134" s="403">
        <f t="shared" si="16"/>
        <v>749467.34426437889</v>
      </c>
      <c r="I134" s="404">
        <f t="shared" si="17"/>
        <v>749467.34426437889</v>
      </c>
      <c r="J134" s="160">
        <f t="shared" si="18"/>
        <v>0</v>
      </c>
      <c r="K134" s="160"/>
      <c r="L134" s="316"/>
      <c r="M134" s="160">
        <f t="shared" si="19"/>
        <v>0</v>
      </c>
      <c r="N134" s="316"/>
      <c r="O134" s="160">
        <f t="shared" si="20"/>
        <v>0</v>
      </c>
      <c r="P134" s="160">
        <f t="shared" si="21"/>
        <v>0</v>
      </c>
      <c r="Q134" s="1"/>
      <c r="R134" s="1"/>
      <c r="S134" s="1"/>
      <c r="T134" s="1"/>
      <c r="U134" s="1"/>
    </row>
    <row r="135" spans="2:21">
      <c r="B135" t="str">
        <f t="shared" si="12"/>
        <v/>
      </c>
      <c r="C135" s="155">
        <f>IF(D94="","-",+C134+1)</f>
        <v>2049</v>
      </c>
      <c r="D135" s="156">
        <f>IF(F134+SUM(E$100:E134)=D$93,F134,D$93-SUM(E$100:E134))</f>
        <v>1491958.0825163391</v>
      </c>
      <c r="E135" s="402">
        <f t="shared" si="13"/>
        <v>562294.02777777775</v>
      </c>
      <c r="F135" s="161">
        <f t="shared" si="14"/>
        <v>929664.05473856139</v>
      </c>
      <c r="G135" s="161">
        <f t="shared" si="15"/>
        <v>1210811.0686274501</v>
      </c>
      <c r="H135" s="403">
        <f t="shared" si="16"/>
        <v>690110.20957836905</v>
      </c>
      <c r="I135" s="404">
        <f t="shared" si="17"/>
        <v>690110.20957836905</v>
      </c>
      <c r="J135" s="160">
        <f t="shared" si="18"/>
        <v>0</v>
      </c>
      <c r="K135" s="160"/>
      <c r="L135" s="316"/>
      <c r="M135" s="160">
        <f t="shared" si="19"/>
        <v>0</v>
      </c>
      <c r="N135" s="316"/>
      <c r="O135" s="160">
        <f t="shared" si="20"/>
        <v>0</v>
      </c>
      <c r="P135" s="160">
        <f t="shared" si="21"/>
        <v>0</v>
      </c>
      <c r="Q135" s="1"/>
      <c r="R135" s="1"/>
      <c r="S135" s="1"/>
      <c r="T135" s="1"/>
      <c r="U135" s="1"/>
    </row>
    <row r="136" spans="2:21">
      <c r="B136" t="str">
        <f t="shared" si="12"/>
        <v/>
      </c>
      <c r="C136" s="155">
        <f>IF(D94="","-",+C135+1)</f>
        <v>2050</v>
      </c>
      <c r="D136" s="156">
        <f>IF(F135+SUM(E$100:E135)=D$93,F135,D$93-SUM(E$100:E135))</f>
        <v>929664.05473856139</v>
      </c>
      <c r="E136" s="402">
        <f t="shared" si="13"/>
        <v>562294.02777777775</v>
      </c>
      <c r="F136" s="161">
        <f t="shared" si="14"/>
        <v>367370.02696078364</v>
      </c>
      <c r="G136" s="161">
        <f t="shared" si="15"/>
        <v>648517.04084967251</v>
      </c>
      <c r="H136" s="403">
        <f t="shared" si="16"/>
        <v>630753.07489235909</v>
      </c>
      <c r="I136" s="404">
        <f t="shared" si="17"/>
        <v>630753.07489235909</v>
      </c>
      <c r="J136" s="160">
        <f t="shared" si="18"/>
        <v>0</v>
      </c>
      <c r="K136" s="160"/>
      <c r="L136" s="316"/>
      <c r="M136" s="160">
        <f t="shared" si="19"/>
        <v>0</v>
      </c>
      <c r="N136" s="316"/>
      <c r="O136" s="160">
        <f t="shared" si="20"/>
        <v>0</v>
      </c>
      <c r="P136" s="160">
        <f t="shared" si="21"/>
        <v>0</v>
      </c>
      <c r="Q136" s="1"/>
      <c r="R136" s="1"/>
      <c r="S136" s="1"/>
      <c r="T136" s="1"/>
      <c r="U136" s="1"/>
    </row>
    <row r="137" spans="2:21">
      <c r="B137" t="str">
        <f t="shared" si="12"/>
        <v/>
      </c>
      <c r="C137" s="155">
        <f>IF(D94="","-",+C136+1)</f>
        <v>2051</v>
      </c>
      <c r="D137" s="156">
        <f>IF(F136+SUM(E$100:E136)=D$93,F136,D$93-SUM(E$100:E136))</f>
        <v>367370.02696078364</v>
      </c>
      <c r="E137" s="402">
        <f t="shared" si="13"/>
        <v>367370.02696078364</v>
      </c>
      <c r="F137" s="161">
        <f t="shared" si="14"/>
        <v>0</v>
      </c>
      <c r="G137" s="161">
        <f t="shared" si="15"/>
        <v>183685.01348039182</v>
      </c>
      <c r="H137" s="403">
        <f t="shared" si="16"/>
        <v>386760.26684657182</v>
      </c>
      <c r="I137" s="404">
        <f t="shared" si="17"/>
        <v>386760.26684657182</v>
      </c>
      <c r="J137" s="160">
        <f t="shared" si="18"/>
        <v>0</v>
      </c>
      <c r="K137" s="160"/>
      <c r="L137" s="316"/>
      <c r="M137" s="160">
        <f t="shared" si="19"/>
        <v>0</v>
      </c>
      <c r="N137" s="316"/>
      <c r="O137" s="160">
        <f t="shared" si="20"/>
        <v>0</v>
      </c>
      <c r="P137" s="160">
        <f t="shared" si="21"/>
        <v>0</v>
      </c>
      <c r="Q137" s="1"/>
      <c r="R137" s="1"/>
      <c r="S137" s="1"/>
      <c r="T137" s="1"/>
      <c r="U137" s="1"/>
    </row>
    <row r="138" spans="2:21">
      <c r="B138" t="str">
        <f t="shared" si="12"/>
        <v/>
      </c>
      <c r="C138" s="155">
        <f>IF(D94="","-",+C137+1)</f>
        <v>2052</v>
      </c>
      <c r="D138" s="156">
        <f>IF(F137+SUM(E$100:E137)=D$93,F137,D$93-SUM(E$100:E137))</f>
        <v>0</v>
      </c>
      <c r="E138" s="402">
        <f t="shared" si="13"/>
        <v>0</v>
      </c>
      <c r="F138" s="161">
        <f t="shared" si="14"/>
        <v>0</v>
      </c>
      <c r="G138" s="161">
        <f t="shared" si="15"/>
        <v>0</v>
      </c>
      <c r="H138" s="403">
        <f t="shared" si="16"/>
        <v>0</v>
      </c>
      <c r="I138" s="404">
        <f t="shared" si="17"/>
        <v>0</v>
      </c>
      <c r="J138" s="160">
        <f t="shared" si="18"/>
        <v>0</v>
      </c>
      <c r="K138" s="160"/>
      <c r="L138" s="316"/>
      <c r="M138" s="160">
        <f t="shared" si="19"/>
        <v>0</v>
      </c>
      <c r="N138" s="316"/>
      <c r="O138" s="160">
        <f t="shared" si="20"/>
        <v>0</v>
      </c>
      <c r="P138" s="160">
        <f t="shared" si="21"/>
        <v>0</v>
      </c>
      <c r="Q138" s="1"/>
      <c r="R138" s="1"/>
      <c r="S138" s="1"/>
      <c r="T138" s="1"/>
      <c r="U138" s="1"/>
    </row>
    <row r="139" spans="2:21">
      <c r="B139" t="str">
        <f t="shared" si="12"/>
        <v/>
      </c>
      <c r="C139" s="155">
        <f>IF(D94="","-",+C138+1)</f>
        <v>2053</v>
      </c>
      <c r="D139" s="156">
        <f>IF(F138+SUM(E$100:E138)=D$93,F138,D$93-SUM(E$100:E138))</f>
        <v>0</v>
      </c>
      <c r="E139" s="402">
        <f t="shared" si="13"/>
        <v>0</v>
      </c>
      <c r="F139" s="161">
        <f t="shared" si="14"/>
        <v>0</v>
      </c>
      <c r="G139" s="161">
        <f t="shared" si="15"/>
        <v>0</v>
      </c>
      <c r="H139" s="403">
        <f t="shared" si="16"/>
        <v>0</v>
      </c>
      <c r="I139" s="404">
        <f t="shared" si="17"/>
        <v>0</v>
      </c>
      <c r="J139" s="160">
        <f t="shared" si="18"/>
        <v>0</v>
      </c>
      <c r="K139" s="160"/>
      <c r="L139" s="316"/>
      <c r="M139" s="160">
        <f t="shared" si="19"/>
        <v>0</v>
      </c>
      <c r="N139" s="316"/>
      <c r="O139" s="160">
        <f t="shared" si="20"/>
        <v>0</v>
      </c>
      <c r="P139" s="160">
        <f t="shared" si="21"/>
        <v>0</v>
      </c>
      <c r="Q139" s="1"/>
      <c r="R139" s="1"/>
      <c r="S139" s="1"/>
      <c r="T139" s="1"/>
      <c r="U139" s="1"/>
    </row>
    <row r="140" spans="2:21">
      <c r="B140" t="str">
        <f t="shared" si="12"/>
        <v/>
      </c>
      <c r="C140" s="155">
        <f>IF(D94="","-",+C139+1)</f>
        <v>2054</v>
      </c>
      <c r="D140" s="156">
        <f>IF(F139+SUM(E$100:E139)=D$93,F139,D$93-SUM(E$100:E139))</f>
        <v>0</v>
      </c>
      <c r="E140" s="402">
        <f t="shared" si="13"/>
        <v>0</v>
      </c>
      <c r="F140" s="161">
        <f t="shared" si="14"/>
        <v>0</v>
      </c>
      <c r="G140" s="161">
        <f t="shared" si="15"/>
        <v>0</v>
      </c>
      <c r="H140" s="403">
        <f t="shared" si="16"/>
        <v>0</v>
      </c>
      <c r="I140" s="404">
        <f t="shared" si="17"/>
        <v>0</v>
      </c>
      <c r="J140" s="160">
        <f t="shared" si="18"/>
        <v>0</v>
      </c>
      <c r="K140" s="160"/>
      <c r="L140" s="316"/>
      <c r="M140" s="160">
        <f t="shared" si="19"/>
        <v>0</v>
      </c>
      <c r="N140" s="316"/>
      <c r="O140" s="160">
        <f t="shared" si="20"/>
        <v>0</v>
      </c>
      <c r="P140" s="160">
        <f t="shared" si="21"/>
        <v>0</v>
      </c>
      <c r="Q140" s="1"/>
      <c r="R140" s="1"/>
      <c r="S140" s="1"/>
      <c r="T140" s="1"/>
      <c r="U140" s="1"/>
    </row>
    <row r="141" spans="2:21">
      <c r="B141" t="str">
        <f t="shared" si="12"/>
        <v/>
      </c>
      <c r="C141" s="155">
        <f>IF(D94="","-",+C140+1)</f>
        <v>2055</v>
      </c>
      <c r="D141" s="156">
        <f>IF(F140+SUM(E$100:E140)=D$93,F140,D$93-SUM(E$100:E140))</f>
        <v>0</v>
      </c>
      <c r="E141" s="402">
        <f t="shared" si="13"/>
        <v>0</v>
      </c>
      <c r="F141" s="161">
        <f t="shared" si="14"/>
        <v>0</v>
      </c>
      <c r="G141" s="161">
        <f t="shared" si="15"/>
        <v>0</v>
      </c>
      <c r="H141" s="403">
        <f t="shared" si="16"/>
        <v>0</v>
      </c>
      <c r="I141" s="404">
        <f t="shared" si="17"/>
        <v>0</v>
      </c>
      <c r="J141" s="160">
        <f t="shared" si="18"/>
        <v>0</v>
      </c>
      <c r="K141" s="160"/>
      <c r="L141" s="316"/>
      <c r="M141" s="160">
        <f t="shared" si="19"/>
        <v>0</v>
      </c>
      <c r="N141" s="316"/>
      <c r="O141" s="160">
        <f t="shared" si="20"/>
        <v>0</v>
      </c>
      <c r="P141" s="160">
        <f t="shared" si="21"/>
        <v>0</v>
      </c>
      <c r="Q141" s="1"/>
      <c r="R141" s="1"/>
      <c r="S141" s="1"/>
      <c r="T141" s="1"/>
      <c r="U141" s="1"/>
    </row>
    <row r="142" spans="2:21">
      <c r="B142" t="str">
        <f t="shared" si="12"/>
        <v/>
      </c>
      <c r="C142" s="155">
        <f>IF(D94="","-",+C141+1)</f>
        <v>2056</v>
      </c>
      <c r="D142" s="156">
        <f>IF(F141+SUM(E$100:E141)=D$93,F141,D$93-SUM(E$100:E141))</f>
        <v>0</v>
      </c>
      <c r="E142" s="402">
        <f t="shared" si="13"/>
        <v>0</v>
      </c>
      <c r="F142" s="161">
        <f t="shared" si="14"/>
        <v>0</v>
      </c>
      <c r="G142" s="161">
        <f t="shared" si="15"/>
        <v>0</v>
      </c>
      <c r="H142" s="403">
        <f t="shared" si="16"/>
        <v>0</v>
      </c>
      <c r="I142" s="404">
        <f t="shared" si="17"/>
        <v>0</v>
      </c>
      <c r="J142" s="160">
        <f t="shared" si="18"/>
        <v>0</v>
      </c>
      <c r="K142" s="160"/>
      <c r="L142" s="316"/>
      <c r="M142" s="160">
        <f t="shared" si="19"/>
        <v>0</v>
      </c>
      <c r="N142" s="316"/>
      <c r="O142" s="160">
        <f t="shared" si="20"/>
        <v>0</v>
      </c>
      <c r="P142" s="160">
        <f t="shared" si="21"/>
        <v>0</v>
      </c>
      <c r="Q142" s="1"/>
      <c r="R142" s="1"/>
      <c r="S142" s="1"/>
      <c r="T142" s="1"/>
      <c r="U142" s="1"/>
    </row>
    <row r="143" spans="2:21">
      <c r="B143" t="str">
        <f t="shared" si="12"/>
        <v/>
      </c>
      <c r="C143" s="155">
        <f>IF(D94="","-",+C142+1)</f>
        <v>2057</v>
      </c>
      <c r="D143" s="156">
        <f>IF(F142+SUM(E$100:E142)=D$93,F142,D$93-SUM(E$100:E142))</f>
        <v>0</v>
      </c>
      <c r="E143" s="402">
        <f t="shared" si="13"/>
        <v>0</v>
      </c>
      <c r="F143" s="161">
        <f t="shared" si="14"/>
        <v>0</v>
      </c>
      <c r="G143" s="161">
        <f t="shared" si="15"/>
        <v>0</v>
      </c>
      <c r="H143" s="403">
        <f t="shared" si="16"/>
        <v>0</v>
      </c>
      <c r="I143" s="404">
        <f t="shared" si="17"/>
        <v>0</v>
      </c>
      <c r="J143" s="160">
        <f t="shared" si="18"/>
        <v>0</v>
      </c>
      <c r="K143" s="160"/>
      <c r="L143" s="316"/>
      <c r="M143" s="160">
        <f t="shared" si="19"/>
        <v>0</v>
      </c>
      <c r="N143" s="316"/>
      <c r="O143" s="160">
        <f t="shared" si="20"/>
        <v>0</v>
      </c>
      <c r="P143" s="160">
        <f t="shared" si="21"/>
        <v>0</v>
      </c>
      <c r="Q143" s="1"/>
      <c r="R143" s="1"/>
      <c r="S143" s="1"/>
      <c r="T143" s="1"/>
      <c r="U143" s="1"/>
    </row>
    <row r="144" spans="2:21">
      <c r="B144" t="str">
        <f t="shared" si="12"/>
        <v/>
      </c>
      <c r="C144" s="155">
        <f>IF(D94="","-",+C143+1)</f>
        <v>2058</v>
      </c>
      <c r="D144" s="156">
        <f>IF(F143+SUM(E$100:E143)=D$93,F143,D$93-SUM(E$100:E143))</f>
        <v>0</v>
      </c>
      <c r="E144" s="402">
        <f t="shared" si="13"/>
        <v>0</v>
      </c>
      <c r="F144" s="161">
        <f t="shared" si="14"/>
        <v>0</v>
      </c>
      <c r="G144" s="161">
        <f t="shared" si="15"/>
        <v>0</v>
      </c>
      <c r="H144" s="403">
        <f t="shared" si="16"/>
        <v>0</v>
      </c>
      <c r="I144" s="404">
        <f t="shared" si="17"/>
        <v>0</v>
      </c>
      <c r="J144" s="160">
        <f t="shared" si="18"/>
        <v>0</v>
      </c>
      <c r="K144" s="160"/>
      <c r="L144" s="316"/>
      <c r="M144" s="160">
        <f t="shared" si="19"/>
        <v>0</v>
      </c>
      <c r="N144" s="316"/>
      <c r="O144" s="160">
        <f t="shared" si="20"/>
        <v>0</v>
      </c>
      <c r="P144" s="160">
        <f t="shared" si="21"/>
        <v>0</v>
      </c>
      <c r="Q144" s="1"/>
      <c r="R144" s="1"/>
      <c r="S144" s="1"/>
      <c r="T144" s="1"/>
      <c r="U144" s="1"/>
    </row>
    <row r="145" spans="2:21">
      <c r="B145" t="str">
        <f t="shared" si="12"/>
        <v/>
      </c>
      <c r="C145" s="155">
        <f>IF(D94="","-",+C144+1)</f>
        <v>2059</v>
      </c>
      <c r="D145" s="156">
        <f>IF(F144+SUM(E$100:E144)=D$93,F144,D$93-SUM(E$100:E144))</f>
        <v>0</v>
      </c>
      <c r="E145" s="402">
        <f t="shared" si="13"/>
        <v>0</v>
      </c>
      <c r="F145" s="161">
        <f t="shared" si="14"/>
        <v>0</v>
      </c>
      <c r="G145" s="161">
        <f t="shared" si="15"/>
        <v>0</v>
      </c>
      <c r="H145" s="403">
        <f t="shared" si="16"/>
        <v>0</v>
      </c>
      <c r="I145" s="404">
        <f t="shared" si="17"/>
        <v>0</v>
      </c>
      <c r="J145" s="160">
        <f t="shared" si="18"/>
        <v>0</v>
      </c>
      <c r="K145" s="160"/>
      <c r="L145" s="316"/>
      <c r="M145" s="160">
        <f t="shared" si="19"/>
        <v>0</v>
      </c>
      <c r="N145" s="316"/>
      <c r="O145" s="160">
        <f t="shared" si="20"/>
        <v>0</v>
      </c>
      <c r="P145" s="160">
        <f t="shared" si="21"/>
        <v>0</v>
      </c>
      <c r="Q145" s="1"/>
      <c r="R145" s="1"/>
      <c r="S145" s="1"/>
      <c r="T145" s="1"/>
      <c r="U145" s="1"/>
    </row>
    <row r="146" spans="2:21">
      <c r="B146" t="str">
        <f t="shared" si="12"/>
        <v/>
      </c>
      <c r="C146" s="155">
        <f>IF(D94="","-",+C145+1)</f>
        <v>2060</v>
      </c>
      <c r="D146" s="156">
        <f>IF(F145+SUM(E$100:E145)=D$93,F145,D$93-SUM(E$100:E145))</f>
        <v>0</v>
      </c>
      <c r="E146" s="402">
        <f t="shared" si="13"/>
        <v>0</v>
      </c>
      <c r="F146" s="161">
        <f t="shared" si="14"/>
        <v>0</v>
      </c>
      <c r="G146" s="161">
        <f t="shared" si="15"/>
        <v>0</v>
      </c>
      <c r="H146" s="403">
        <f t="shared" si="16"/>
        <v>0</v>
      </c>
      <c r="I146" s="404">
        <f t="shared" si="17"/>
        <v>0</v>
      </c>
      <c r="J146" s="160">
        <f t="shared" si="18"/>
        <v>0</v>
      </c>
      <c r="K146" s="160"/>
      <c r="L146" s="316"/>
      <c r="M146" s="160">
        <f t="shared" si="19"/>
        <v>0</v>
      </c>
      <c r="N146" s="316"/>
      <c r="O146" s="160">
        <f t="shared" si="20"/>
        <v>0</v>
      </c>
      <c r="P146" s="160">
        <f t="shared" si="21"/>
        <v>0</v>
      </c>
      <c r="Q146" s="1"/>
      <c r="R146" s="1"/>
      <c r="S146" s="1"/>
      <c r="T146" s="1"/>
      <c r="U146" s="1"/>
    </row>
    <row r="147" spans="2:21">
      <c r="B147" t="str">
        <f t="shared" si="12"/>
        <v/>
      </c>
      <c r="C147" s="155">
        <f>IF(D94="","-",+C146+1)</f>
        <v>2061</v>
      </c>
      <c r="D147" s="156">
        <f>IF(F146+SUM(E$100:E146)=D$93,F146,D$93-SUM(E$100:E146))</f>
        <v>0</v>
      </c>
      <c r="E147" s="402">
        <f t="shared" si="13"/>
        <v>0</v>
      </c>
      <c r="F147" s="161">
        <f t="shared" si="14"/>
        <v>0</v>
      </c>
      <c r="G147" s="161">
        <f t="shared" si="15"/>
        <v>0</v>
      </c>
      <c r="H147" s="403">
        <f t="shared" si="16"/>
        <v>0</v>
      </c>
      <c r="I147" s="404">
        <f t="shared" si="17"/>
        <v>0</v>
      </c>
      <c r="J147" s="160">
        <f t="shared" si="18"/>
        <v>0</v>
      </c>
      <c r="K147" s="160"/>
      <c r="L147" s="316"/>
      <c r="M147" s="160">
        <f t="shared" si="19"/>
        <v>0</v>
      </c>
      <c r="N147" s="316"/>
      <c r="O147" s="160">
        <f t="shared" si="20"/>
        <v>0</v>
      </c>
      <c r="P147" s="160">
        <f t="shared" si="21"/>
        <v>0</v>
      </c>
      <c r="Q147" s="1"/>
      <c r="R147" s="1"/>
      <c r="S147" s="1"/>
      <c r="T147" s="1"/>
      <c r="U147" s="1"/>
    </row>
    <row r="148" spans="2:21">
      <c r="B148" t="str">
        <f t="shared" si="12"/>
        <v/>
      </c>
      <c r="C148" s="155">
        <f>IF(D94="","-",+C147+1)</f>
        <v>2062</v>
      </c>
      <c r="D148" s="156">
        <f>IF(F147+SUM(E$100:E147)=D$93,F147,D$93-SUM(E$100:E147))</f>
        <v>0</v>
      </c>
      <c r="E148" s="402">
        <f t="shared" si="13"/>
        <v>0</v>
      </c>
      <c r="F148" s="161">
        <f t="shared" si="14"/>
        <v>0</v>
      </c>
      <c r="G148" s="161">
        <f t="shared" si="15"/>
        <v>0</v>
      </c>
      <c r="H148" s="403">
        <f t="shared" si="16"/>
        <v>0</v>
      </c>
      <c r="I148" s="404">
        <f t="shared" si="17"/>
        <v>0</v>
      </c>
      <c r="J148" s="160">
        <f t="shared" si="18"/>
        <v>0</v>
      </c>
      <c r="K148" s="160"/>
      <c r="L148" s="316"/>
      <c r="M148" s="160">
        <f t="shared" si="19"/>
        <v>0</v>
      </c>
      <c r="N148" s="316"/>
      <c r="O148" s="160">
        <f t="shared" si="20"/>
        <v>0</v>
      </c>
      <c r="P148" s="160">
        <f t="shared" si="21"/>
        <v>0</v>
      </c>
      <c r="Q148" s="1"/>
      <c r="R148" s="1"/>
      <c r="S148" s="1"/>
      <c r="T148" s="1"/>
      <c r="U148" s="1"/>
    </row>
    <row r="149" spans="2:21">
      <c r="B149" t="str">
        <f t="shared" si="12"/>
        <v/>
      </c>
      <c r="C149" s="155">
        <f>IF(D94="","-",+C148+1)</f>
        <v>2063</v>
      </c>
      <c r="D149" s="156">
        <f>IF(F148+SUM(E$100:E148)=D$93,F148,D$93-SUM(E$100:E148))</f>
        <v>0</v>
      </c>
      <c r="E149" s="402">
        <f t="shared" si="13"/>
        <v>0</v>
      </c>
      <c r="F149" s="161">
        <f t="shared" si="14"/>
        <v>0</v>
      </c>
      <c r="G149" s="161">
        <f t="shared" si="15"/>
        <v>0</v>
      </c>
      <c r="H149" s="403">
        <f t="shared" si="16"/>
        <v>0</v>
      </c>
      <c r="I149" s="404">
        <f t="shared" si="17"/>
        <v>0</v>
      </c>
      <c r="J149" s="160">
        <f t="shared" si="18"/>
        <v>0</v>
      </c>
      <c r="K149" s="160"/>
      <c r="L149" s="316"/>
      <c r="M149" s="160">
        <f t="shared" si="19"/>
        <v>0</v>
      </c>
      <c r="N149" s="316"/>
      <c r="O149" s="160">
        <f t="shared" si="20"/>
        <v>0</v>
      </c>
      <c r="P149" s="160">
        <f t="shared" si="21"/>
        <v>0</v>
      </c>
      <c r="Q149" s="1"/>
      <c r="R149" s="1"/>
      <c r="S149" s="1"/>
      <c r="T149" s="1"/>
      <c r="U149" s="1"/>
    </row>
    <row r="150" spans="2:21">
      <c r="B150" t="str">
        <f t="shared" si="12"/>
        <v/>
      </c>
      <c r="C150" s="155">
        <f>IF(D94="","-",+C149+1)</f>
        <v>2064</v>
      </c>
      <c r="D150" s="156">
        <f>IF(F149+SUM(E$100:E149)=D$93,F149,D$93-SUM(E$100:E149))</f>
        <v>0</v>
      </c>
      <c r="E150" s="402">
        <f t="shared" si="13"/>
        <v>0</v>
      </c>
      <c r="F150" s="161">
        <f t="shared" si="14"/>
        <v>0</v>
      </c>
      <c r="G150" s="161">
        <f t="shared" si="15"/>
        <v>0</v>
      </c>
      <c r="H150" s="403">
        <f t="shared" si="16"/>
        <v>0</v>
      </c>
      <c r="I150" s="404">
        <f t="shared" si="17"/>
        <v>0</v>
      </c>
      <c r="J150" s="160">
        <f t="shared" si="18"/>
        <v>0</v>
      </c>
      <c r="K150" s="160"/>
      <c r="L150" s="316"/>
      <c r="M150" s="160">
        <f t="shared" si="19"/>
        <v>0</v>
      </c>
      <c r="N150" s="316"/>
      <c r="O150" s="160">
        <f t="shared" si="20"/>
        <v>0</v>
      </c>
      <c r="P150" s="160">
        <f t="shared" si="21"/>
        <v>0</v>
      </c>
      <c r="Q150" s="1"/>
      <c r="R150" s="1"/>
      <c r="S150" s="1"/>
      <c r="T150" s="1"/>
      <c r="U150" s="1"/>
    </row>
    <row r="151" spans="2:21">
      <c r="B151" t="str">
        <f t="shared" si="12"/>
        <v/>
      </c>
      <c r="C151" s="155">
        <f>IF(D94="","-",+C150+1)</f>
        <v>2065</v>
      </c>
      <c r="D151" s="156">
        <f>IF(F150+SUM(E$100:E150)=D$93,F150,D$93-SUM(E$100:E150))</f>
        <v>0</v>
      </c>
      <c r="E151" s="402">
        <f t="shared" si="13"/>
        <v>0</v>
      </c>
      <c r="F151" s="161">
        <f t="shared" si="14"/>
        <v>0</v>
      </c>
      <c r="G151" s="161">
        <f t="shared" si="15"/>
        <v>0</v>
      </c>
      <c r="H151" s="403">
        <f t="shared" si="16"/>
        <v>0</v>
      </c>
      <c r="I151" s="404">
        <f t="shared" si="17"/>
        <v>0</v>
      </c>
      <c r="J151" s="160">
        <f t="shared" si="18"/>
        <v>0</v>
      </c>
      <c r="K151" s="160"/>
      <c r="L151" s="316"/>
      <c r="M151" s="160">
        <f t="shared" si="19"/>
        <v>0</v>
      </c>
      <c r="N151" s="316"/>
      <c r="O151" s="160">
        <f t="shared" si="20"/>
        <v>0</v>
      </c>
      <c r="P151" s="160">
        <f t="shared" si="21"/>
        <v>0</v>
      </c>
      <c r="Q151" s="1"/>
      <c r="R151" s="1"/>
      <c r="S151" s="1"/>
      <c r="T151" s="1"/>
      <c r="U151" s="1"/>
    </row>
    <row r="152" spans="2:21">
      <c r="B152" t="str">
        <f t="shared" si="12"/>
        <v/>
      </c>
      <c r="C152" s="155">
        <f>IF(D94="","-",+C151+1)</f>
        <v>2066</v>
      </c>
      <c r="D152" s="156">
        <f>IF(F151+SUM(E$100:E151)=D$93,F151,D$93-SUM(E$100:E151))</f>
        <v>0</v>
      </c>
      <c r="E152" s="402">
        <f t="shared" si="13"/>
        <v>0</v>
      </c>
      <c r="F152" s="161">
        <f t="shared" si="14"/>
        <v>0</v>
      </c>
      <c r="G152" s="161">
        <f t="shared" si="15"/>
        <v>0</v>
      </c>
      <c r="H152" s="403">
        <f t="shared" si="16"/>
        <v>0</v>
      </c>
      <c r="I152" s="404">
        <f t="shared" si="17"/>
        <v>0</v>
      </c>
      <c r="J152" s="160">
        <f t="shared" si="18"/>
        <v>0</v>
      </c>
      <c r="K152" s="160"/>
      <c r="L152" s="316"/>
      <c r="M152" s="160">
        <f t="shared" si="19"/>
        <v>0</v>
      </c>
      <c r="N152" s="316"/>
      <c r="O152" s="160">
        <f t="shared" si="20"/>
        <v>0</v>
      </c>
      <c r="P152" s="160">
        <f t="shared" si="21"/>
        <v>0</v>
      </c>
      <c r="Q152" s="1"/>
      <c r="R152" s="1"/>
      <c r="S152" s="1"/>
      <c r="T152" s="1"/>
      <c r="U152" s="1"/>
    </row>
    <row r="153" spans="2:21">
      <c r="B153" t="str">
        <f t="shared" si="12"/>
        <v/>
      </c>
      <c r="C153" s="155">
        <f>IF(D94="","-",+C152+1)</f>
        <v>2067</v>
      </c>
      <c r="D153" s="156">
        <f>IF(F152+SUM(E$100:E152)=D$93,F152,D$93-SUM(E$100:E152))</f>
        <v>0</v>
      </c>
      <c r="E153" s="402">
        <f t="shared" si="13"/>
        <v>0</v>
      </c>
      <c r="F153" s="161">
        <f t="shared" si="14"/>
        <v>0</v>
      </c>
      <c r="G153" s="161">
        <f t="shared" si="15"/>
        <v>0</v>
      </c>
      <c r="H153" s="403">
        <f t="shared" si="16"/>
        <v>0</v>
      </c>
      <c r="I153" s="404">
        <f t="shared" si="17"/>
        <v>0</v>
      </c>
      <c r="J153" s="160">
        <f t="shared" si="18"/>
        <v>0</v>
      </c>
      <c r="K153" s="160"/>
      <c r="L153" s="316"/>
      <c r="M153" s="160">
        <f t="shared" si="19"/>
        <v>0</v>
      </c>
      <c r="N153" s="316"/>
      <c r="O153" s="160">
        <f t="shared" si="20"/>
        <v>0</v>
      </c>
      <c r="P153" s="160">
        <f t="shared" si="21"/>
        <v>0</v>
      </c>
      <c r="Q153" s="1"/>
      <c r="R153" s="1"/>
      <c r="S153" s="1"/>
      <c r="T153" s="1"/>
      <c r="U153" s="1"/>
    </row>
    <row r="154" spans="2:21">
      <c r="B154" t="str">
        <f t="shared" si="12"/>
        <v/>
      </c>
      <c r="C154" s="155">
        <f>IF(D94="","-",+C153+1)</f>
        <v>2068</v>
      </c>
      <c r="D154" s="156">
        <f>IF(F153+SUM(E$100:E153)=D$93,F153,D$93-SUM(E$100:E153))</f>
        <v>0</v>
      </c>
      <c r="E154" s="402">
        <f t="shared" si="13"/>
        <v>0</v>
      </c>
      <c r="F154" s="161">
        <f t="shared" si="14"/>
        <v>0</v>
      </c>
      <c r="G154" s="161">
        <f t="shared" si="15"/>
        <v>0</v>
      </c>
      <c r="H154" s="403">
        <f t="shared" si="16"/>
        <v>0</v>
      </c>
      <c r="I154" s="404">
        <f t="shared" si="17"/>
        <v>0</v>
      </c>
      <c r="J154" s="160">
        <f t="shared" si="18"/>
        <v>0</v>
      </c>
      <c r="K154" s="160"/>
      <c r="L154" s="316"/>
      <c r="M154" s="160">
        <f t="shared" si="19"/>
        <v>0</v>
      </c>
      <c r="N154" s="316"/>
      <c r="O154" s="160">
        <f t="shared" si="20"/>
        <v>0</v>
      </c>
      <c r="P154" s="160">
        <f t="shared" si="21"/>
        <v>0</v>
      </c>
      <c r="Q154" s="1"/>
      <c r="R154" s="1"/>
      <c r="S154" s="1"/>
      <c r="T154" s="1"/>
      <c r="U154" s="1"/>
    </row>
    <row r="155" spans="2:21" ht="13.5" thickBot="1">
      <c r="B155" t="str">
        <f t="shared" si="12"/>
        <v/>
      </c>
      <c r="C155" s="166">
        <f>IF(D94="","-",+C154+1)</f>
        <v>2069</v>
      </c>
      <c r="D155" s="399">
        <f>IF(F154+SUM(E$100:E154)=D$93,F154,D$93-SUM(E$100:E154))</f>
        <v>0</v>
      </c>
      <c r="E155" s="405">
        <f t="shared" si="13"/>
        <v>0</v>
      </c>
      <c r="F155" s="167">
        <f t="shared" si="14"/>
        <v>0</v>
      </c>
      <c r="G155" s="167">
        <f t="shared" si="15"/>
        <v>0</v>
      </c>
      <c r="H155" s="406">
        <f t="shared" si="16"/>
        <v>0</v>
      </c>
      <c r="I155" s="407">
        <f t="shared" si="17"/>
        <v>0</v>
      </c>
      <c r="J155" s="171">
        <f t="shared" si="18"/>
        <v>0</v>
      </c>
      <c r="K155" s="160"/>
      <c r="L155" s="317"/>
      <c r="M155" s="171">
        <f t="shared" si="19"/>
        <v>0</v>
      </c>
      <c r="N155" s="317"/>
      <c r="O155" s="171">
        <f t="shared" si="20"/>
        <v>0</v>
      </c>
      <c r="P155" s="171">
        <f t="shared" si="21"/>
        <v>0</v>
      </c>
      <c r="Q155" s="1"/>
      <c r="R155" s="1"/>
      <c r="S155" s="1"/>
      <c r="T155" s="1"/>
      <c r="U155" s="1"/>
    </row>
    <row r="156" spans="2:21">
      <c r="C156" s="156" t="s">
        <v>75</v>
      </c>
      <c r="D156" s="112"/>
      <c r="E156" s="112">
        <f>SUM(E100:E155)</f>
        <v>20242584.999999993</v>
      </c>
      <c r="F156" s="112"/>
      <c r="G156" s="112"/>
      <c r="H156" s="112">
        <f>SUM(H100:H155)</f>
        <v>60332583.050139539</v>
      </c>
      <c r="I156" s="112">
        <f>SUM(I100:I155)</f>
        <v>60332583.050139539</v>
      </c>
      <c r="J156" s="112">
        <f>SUM(J100:J155)</f>
        <v>0</v>
      </c>
      <c r="K156" s="112"/>
      <c r="L156" s="112"/>
      <c r="M156" s="112"/>
      <c r="N156" s="112"/>
      <c r="O156" s="112"/>
      <c r="P156" s="1"/>
      <c r="Q156" s="1"/>
      <c r="R156" s="1"/>
      <c r="S156" s="1"/>
      <c r="T156" s="1"/>
      <c r="U156" s="1"/>
    </row>
    <row r="157" spans="2:21">
      <c r="C157" t="s">
        <v>90</v>
      </c>
      <c r="D157" s="2"/>
      <c r="E157" s="1"/>
      <c r="F157" s="1"/>
      <c r="G157" s="1"/>
      <c r="H157" s="1"/>
      <c r="I157" s="3"/>
      <c r="J157" s="3"/>
      <c r="K157" s="112"/>
      <c r="L157" s="3"/>
      <c r="M157" s="3"/>
      <c r="N157" s="3"/>
      <c r="O157" s="3"/>
      <c r="P157" s="1"/>
      <c r="Q157" s="1"/>
      <c r="R157" s="1"/>
      <c r="S157" s="1"/>
      <c r="T157" s="1"/>
      <c r="U157" s="1"/>
    </row>
    <row r="158" spans="2:21">
      <c r="C158" s="215"/>
      <c r="D158" s="2"/>
      <c r="E158" s="1"/>
      <c r="F158" s="1"/>
      <c r="G158" s="1"/>
      <c r="H158" s="1"/>
      <c r="I158" s="3"/>
      <c r="J158" s="3"/>
      <c r="K158" s="112"/>
      <c r="L158" s="3"/>
      <c r="M158" s="3"/>
      <c r="N158" s="3"/>
      <c r="O158" s="3"/>
      <c r="P158" s="1"/>
      <c r="Q158" s="1"/>
      <c r="R158" s="1"/>
      <c r="S158" s="1"/>
      <c r="T158" s="1"/>
      <c r="U158" s="1"/>
    </row>
    <row r="159" spans="2:21">
      <c r="C159" s="245" t="s">
        <v>130</v>
      </c>
      <c r="D159" s="2"/>
      <c r="E159" s="1"/>
      <c r="F159" s="1"/>
      <c r="G159" s="1"/>
      <c r="H159" s="1"/>
      <c r="I159" s="3"/>
      <c r="J159" s="3"/>
      <c r="K159" s="112"/>
      <c r="L159" s="3"/>
      <c r="M159" s="3"/>
      <c r="N159" s="3"/>
      <c r="O159" s="3"/>
      <c r="P159" s="1"/>
      <c r="Q159" s="1"/>
      <c r="R159" s="1"/>
      <c r="S159" s="1"/>
      <c r="T159" s="1"/>
      <c r="U159" s="1"/>
    </row>
    <row r="160" spans="2: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27" priority="1" stopIfTrue="1" operator="equal">
      <formula>$I$10</formula>
    </cfRule>
  </conditionalFormatting>
  <conditionalFormatting sqref="C100:C155">
    <cfRule type="cellIs" dxfId="2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39997558519241921"/>
  </sheetPr>
  <dimension ref="A1:U163"/>
  <sheetViews>
    <sheetView view="pageBreakPreview" zoomScale="78" zoomScaleNormal="100" zoomScaleSheetLayoutView="78" workbookViewId="0">
      <selection activeCell="D22" sqref="D22:H22"/>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"&amp;RIGHT(MID(CELL("filename",$A$1),FIND("]",CELL("filename",$A$1))+1,256),2)&amp;" of "&amp;COUNT('OKT.001:OKT.xyz - blank'!$P$3)-1</f>
        <v>OKT Project 12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1741897.6993738853</v>
      </c>
      <c r="P5" s="1"/>
      <c r="R5" s="1"/>
      <c r="S5" s="1"/>
      <c r="T5" s="1"/>
      <c r="U5" s="1"/>
    </row>
    <row r="6" spans="1:21" ht="15.75">
      <c r="C6" s="8"/>
      <c r="D6" s="2"/>
      <c r="E6" s="1"/>
      <c r="F6" s="1"/>
      <c r="G6" s="1"/>
      <c r="H6" s="119"/>
      <c r="I6" s="119"/>
      <c r="J6" s="120"/>
      <c r="K6" s="121" t="s">
        <v>243</v>
      </c>
      <c r="L6" s="122"/>
      <c r="M6" s="4"/>
      <c r="N6" s="123">
        <f>VLOOKUP(I10,C17:I73,6)</f>
        <v>1741897.6993738853</v>
      </c>
      <c r="O6" s="1"/>
      <c r="P6" s="1"/>
      <c r="R6" s="1"/>
      <c r="S6" s="1"/>
      <c r="T6" s="1"/>
      <c r="U6" s="1"/>
    </row>
    <row r="7" spans="1:21" ht="13.5" thickBot="1">
      <c r="C7" s="124" t="s">
        <v>46</v>
      </c>
      <c r="D7" s="258" t="s">
        <v>224</v>
      </c>
      <c r="E7" s="1"/>
      <c r="F7" s="1"/>
      <c r="G7" s="1"/>
      <c r="H7" s="3"/>
      <c r="I7" s="3"/>
      <c r="J7" s="112"/>
      <c r="K7" s="125" t="s">
        <v>47</v>
      </c>
      <c r="L7" s="126"/>
      <c r="M7" s="126"/>
      <c r="N7" s="127">
        <f>+N6-N5</f>
        <v>0</v>
      </c>
      <c r="O7" s="1"/>
      <c r="P7" s="1"/>
      <c r="R7" s="1"/>
      <c r="S7" s="1"/>
      <c r="T7" s="1"/>
      <c r="U7" s="1"/>
    </row>
    <row r="8" spans="1:21" ht="13.5" thickBot="1">
      <c r="C8" s="128"/>
      <c r="D8" s="383" t="s">
        <v>230</v>
      </c>
      <c r="E8" s="129"/>
      <c r="F8" s="129"/>
      <c r="G8" s="129"/>
      <c r="H8" s="129"/>
      <c r="I8" s="129"/>
      <c r="J8" s="102"/>
      <c r="K8" s="129"/>
      <c r="L8" s="129"/>
      <c r="M8" s="129"/>
      <c r="N8" s="129"/>
      <c r="O8" s="102"/>
      <c r="P8" s="23"/>
      <c r="R8" s="1"/>
      <c r="S8" s="1"/>
      <c r="T8" s="1"/>
      <c r="U8" s="1"/>
    </row>
    <row r="9" spans="1:21" ht="13.5" thickBot="1">
      <c r="C9" s="130" t="s">
        <v>48</v>
      </c>
      <c r="D9" s="224" t="s">
        <v>223</v>
      </c>
      <c r="E9" s="131"/>
      <c r="F9" s="131"/>
      <c r="G9" s="131"/>
      <c r="H9" s="131"/>
      <c r="I9" s="132"/>
      <c r="J9" s="133"/>
      <c r="O9" s="134"/>
      <c r="P9" s="4"/>
      <c r="R9" s="1"/>
      <c r="S9" s="1"/>
      <c r="T9" s="1"/>
      <c r="U9" s="1"/>
    </row>
    <row r="10" spans="1:21">
      <c r="C10" s="135" t="s">
        <v>49</v>
      </c>
      <c r="D10" s="136">
        <v>13254470.189999999</v>
      </c>
      <c r="E10" s="63" t="s">
        <v>50</v>
      </c>
      <c r="F10" s="134"/>
      <c r="G10" s="137"/>
      <c r="H10" s="137"/>
      <c r="I10" s="138">
        <f>+OKT.WS.F.BPU.ATRR.Projected!R100</f>
        <v>2018</v>
      </c>
      <c r="J10" s="133"/>
      <c r="K10" s="112" t="s">
        <v>51</v>
      </c>
      <c r="O10" s="4"/>
      <c r="P10" s="4"/>
      <c r="R10" s="1"/>
      <c r="S10" s="1"/>
      <c r="T10" s="1"/>
      <c r="U10" s="1"/>
    </row>
    <row r="11" spans="1:21">
      <c r="C11" s="139" t="s">
        <v>52</v>
      </c>
      <c r="D11" s="140">
        <v>2013</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10</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325060.34019690572</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155">
        <f>IF(D11= "","-",D11)</f>
        <v>2013</v>
      </c>
      <c r="D17" s="392">
        <v>13254470.189999999</v>
      </c>
      <c r="E17" s="400">
        <v>38215.310782576453</v>
      </c>
      <c r="F17" s="392">
        <v>13216254.879217423</v>
      </c>
      <c r="G17" s="400">
        <v>401752.61137886974</v>
      </c>
      <c r="H17" s="398">
        <v>401752.61137886974</v>
      </c>
      <c r="I17" s="408">
        <v>0</v>
      </c>
      <c r="J17" s="158"/>
      <c r="K17" s="318">
        <f t="shared" ref="K17:K22" si="1">G17</f>
        <v>401752.61137886974</v>
      </c>
      <c r="L17" s="340">
        <f t="shared" ref="L17:L22" si="2">IF(K17&lt;&gt;0,+G17-K17,0)</f>
        <v>0</v>
      </c>
      <c r="M17" s="318">
        <f t="shared" ref="M17:M22" si="3">H17</f>
        <v>401752.61137886974</v>
      </c>
      <c r="N17" s="159">
        <f>IF(M17&lt;&gt;0,+H17-M17,0)</f>
        <v>0</v>
      </c>
      <c r="O17" s="160">
        <f>+N17-L17</f>
        <v>0</v>
      </c>
      <c r="P17" s="4"/>
      <c r="R17" s="1"/>
      <c r="S17" s="1"/>
      <c r="T17" s="1"/>
      <c r="U17" s="1"/>
    </row>
    <row r="18" spans="2:21">
      <c r="B18" t="str">
        <f t="shared" si="0"/>
        <v/>
      </c>
      <c r="C18" s="155">
        <f>IF(D11="","-",+C17+1)</f>
        <v>2014</v>
      </c>
      <c r="D18" s="394">
        <v>13216254.879217423</v>
      </c>
      <c r="E18" s="393">
        <v>229291.86469545873</v>
      </c>
      <c r="F18" s="394">
        <v>12986963.014521964</v>
      </c>
      <c r="G18" s="393">
        <v>1658212.6960173119</v>
      </c>
      <c r="H18" s="398">
        <v>1658212.6960173119</v>
      </c>
      <c r="I18" s="408">
        <v>0</v>
      </c>
      <c r="J18" s="158"/>
      <c r="K18" s="344">
        <f t="shared" si="1"/>
        <v>1658212.6960173119</v>
      </c>
      <c r="L18" s="345">
        <f t="shared" si="2"/>
        <v>0</v>
      </c>
      <c r="M18" s="344">
        <f t="shared" si="3"/>
        <v>1658212.6960173119</v>
      </c>
      <c r="N18" s="160">
        <f>IF(M18&lt;&gt;0,+H18-M18,0)</f>
        <v>0</v>
      </c>
      <c r="O18" s="160">
        <f>+N18-L18</f>
        <v>0</v>
      </c>
      <c r="P18" s="4"/>
      <c r="R18" s="1"/>
      <c r="S18" s="1"/>
      <c r="T18" s="1"/>
      <c r="U18" s="1"/>
    </row>
    <row r="19" spans="2:21">
      <c r="B19" t="str">
        <f t="shared" si="0"/>
        <v/>
      </c>
      <c r="C19" s="155">
        <f>IF(D11="","-",+C18+1)</f>
        <v>2015</v>
      </c>
      <c r="D19" s="394">
        <v>12986963.014521964</v>
      </c>
      <c r="E19" s="393">
        <v>229291.86469545873</v>
      </c>
      <c r="F19" s="394">
        <v>12757671.149826504</v>
      </c>
      <c r="G19" s="393">
        <v>1544166.8315919416</v>
      </c>
      <c r="H19" s="398">
        <v>1544166.8315919416</v>
      </c>
      <c r="I19" s="158">
        <v>0</v>
      </c>
      <c r="J19" s="158"/>
      <c r="K19" s="344">
        <f t="shared" si="1"/>
        <v>1544166.8315919416</v>
      </c>
      <c r="L19" s="345">
        <f t="shared" si="2"/>
        <v>0</v>
      </c>
      <c r="M19" s="344">
        <f t="shared" si="3"/>
        <v>1544166.8315919416</v>
      </c>
      <c r="N19" s="160">
        <f>IF(M19&lt;&gt;0,+H19-M19,0)</f>
        <v>0</v>
      </c>
      <c r="O19" s="160">
        <f>+N19-L19</f>
        <v>0</v>
      </c>
      <c r="P19" s="4"/>
      <c r="R19" s="1"/>
      <c r="S19" s="1"/>
      <c r="T19" s="1"/>
      <c r="U19" s="1"/>
    </row>
    <row r="20" spans="2:21">
      <c r="B20" t="str">
        <f t="shared" si="0"/>
        <v/>
      </c>
      <c r="C20" s="155">
        <f>IF(D11="","-",+C19+1)</f>
        <v>2016</v>
      </c>
      <c r="D20" s="394">
        <v>12757671.149826504</v>
      </c>
      <c r="E20" s="393">
        <v>275420.65562452108</v>
      </c>
      <c r="F20" s="394">
        <v>12482250.494201982</v>
      </c>
      <c r="G20" s="393">
        <v>1622010.458293594</v>
      </c>
      <c r="H20" s="398">
        <v>1622010.458293594</v>
      </c>
      <c r="I20" s="158">
        <f>H20-G20</f>
        <v>0</v>
      </c>
      <c r="J20" s="158"/>
      <c r="K20" s="344">
        <f t="shared" si="1"/>
        <v>1622010.458293594</v>
      </c>
      <c r="L20" s="345">
        <f t="shared" si="2"/>
        <v>0</v>
      </c>
      <c r="M20" s="344">
        <f t="shared" si="3"/>
        <v>1622010.458293594</v>
      </c>
      <c r="N20" s="160">
        <f t="shared" ref="N20:N73" si="4">IF(M20&lt;&gt;0,+H20-M20,0)</f>
        <v>0</v>
      </c>
      <c r="O20" s="160">
        <f t="shared" ref="O20:O73" si="5">+N20-L20</f>
        <v>0</v>
      </c>
      <c r="P20" s="4"/>
      <c r="R20" s="1"/>
      <c r="S20" s="1"/>
      <c r="T20" s="1"/>
      <c r="U20" s="1"/>
    </row>
    <row r="21" spans="2:21">
      <c r="B21" t="str">
        <f t="shared" si="0"/>
        <v/>
      </c>
      <c r="C21" s="155">
        <f>IF(D11="","-",+C20+1)</f>
        <v>2017</v>
      </c>
      <c r="D21" s="394">
        <v>12482250.494201982</v>
      </c>
      <c r="E21" s="393">
        <v>260609.12491948562</v>
      </c>
      <c r="F21" s="394">
        <v>12221641.369282497</v>
      </c>
      <c r="G21" s="393">
        <v>1618581.7191927545</v>
      </c>
      <c r="H21" s="398">
        <v>1618581.7191927545</v>
      </c>
      <c r="I21" s="158">
        <f t="shared" ref="I21:I73" si="6">H21-G21</f>
        <v>0</v>
      </c>
      <c r="J21" s="158"/>
      <c r="K21" s="344">
        <f t="shared" si="1"/>
        <v>1618581.7191927545</v>
      </c>
      <c r="L21" s="345">
        <f t="shared" si="2"/>
        <v>0</v>
      </c>
      <c r="M21" s="344">
        <f t="shared" si="3"/>
        <v>1618581.7191927545</v>
      </c>
      <c r="N21" s="160">
        <f>IF(M21&lt;&gt;0,+H21-M21,0)</f>
        <v>0</v>
      </c>
      <c r="O21" s="160">
        <f>+N21-L21</f>
        <v>0</v>
      </c>
      <c r="P21" s="4"/>
      <c r="R21" s="1"/>
      <c r="S21" s="1"/>
      <c r="T21" s="1"/>
      <c r="U21" s="1"/>
    </row>
    <row r="22" spans="2:21">
      <c r="B22" t="str">
        <f t="shared" si="0"/>
        <v/>
      </c>
      <c r="C22" s="155">
        <f>IF(D11="","-",+C21+1)</f>
        <v>2018</v>
      </c>
      <c r="D22" s="394">
        <v>12221641.369282497</v>
      </c>
      <c r="E22" s="393">
        <v>325060.34019690572</v>
      </c>
      <c r="F22" s="394">
        <v>11896581.029085591</v>
      </c>
      <c r="G22" s="393">
        <v>1741897.6993738853</v>
      </c>
      <c r="H22" s="398">
        <v>1741897.6993738853</v>
      </c>
      <c r="I22" s="158">
        <v>0</v>
      </c>
      <c r="J22" s="158"/>
      <c r="K22" s="344">
        <f t="shared" si="1"/>
        <v>1741897.6993738853</v>
      </c>
      <c r="L22" s="345">
        <f t="shared" si="2"/>
        <v>0</v>
      </c>
      <c r="M22" s="344">
        <f t="shared" si="3"/>
        <v>1741897.6993738853</v>
      </c>
      <c r="N22" s="160">
        <f>IF(M22&lt;&gt;0,+H22-M22,0)</f>
        <v>0</v>
      </c>
      <c r="O22" s="160">
        <f>+N22-L22</f>
        <v>0</v>
      </c>
      <c r="P22" s="4"/>
      <c r="R22" s="1"/>
      <c r="S22" s="1"/>
      <c r="T22" s="1"/>
      <c r="U22" s="1"/>
    </row>
    <row r="23" spans="2:21">
      <c r="B23" t="str">
        <f t="shared" si="0"/>
        <v/>
      </c>
      <c r="C23" s="155">
        <f>IF(D11="","-",+C22+1)</f>
        <v>2019</v>
      </c>
      <c r="D23" s="164">
        <f>IF(F22+SUM(E$17:E22)=D$10,F22,D$10-SUM(E$17:E22))</f>
        <v>11896581.029085591</v>
      </c>
      <c r="E23" s="162">
        <f t="shared" ref="E23:E73" si="7">IF(+$I$14&lt;F22,$I$14,D23)</f>
        <v>325060.34019690572</v>
      </c>
      <c r="F23" s="161">
        <f t="shared" ref="F23:F73" si="8">+D23-E23</f>
        <v>11571520.688888686</v>
      </c>
      <c r="G23" s="163">
        <f t="shared" ref="G23:G73" si="9">(D23+F23)/2*I$12+E23</f>
        <v>1703706.0261758706</v>
      </c>
      <c r="H23" s="145">
        <f t="shared" ref="H23:H73" si="10">+(D23+F23)/2*I$13+E23</f>
        <v>1703706.0261758706</v>
      </c>
      <c r="I23" s="158">
        <f t="shared" si="6"/>
        <v>0</v>
      </c>
      <c r="J23" s="158"/>
      <c r="K23" s="316"/>
      <c r="L23" s="160">
        <f t="shared" ref="L23:L73" si="11">IF(K23&lt;&gt;0,+G23-K23,0)</f>
        <v>0</v>
      </c>
      <c r="M23" s="316"/>
      <c r="N23" s="160">
        <f t="shared" si="4"/>
        <v>0</v>
      </c>
      <c r="O23" s="160">
        <f t="shared" si="5"/>
        <v>0</v>
      </c>
      <c r="P23" s="4"/>
      <c r="R23" s="1"/>
      <c r="S23" s="1"/>
      <c r="T23" s="1"/>
      <c r="U23" s="1"/>
    </row>
    <row r="24" spans="2:21">
      <c r="B24" t="str">
        <f t="shared" si="0"/>
        <v/>
      </c>
      <c r="C24" s="155">
        <f>IF(D11="","-",+C23+1)</f>
        <v>2020</v>
      </c>
      <c r="D24" s="164">
        <f>IF(F23+SUM(E$17:E23)=D$10,F23,D$10-SUM(E$17:E23))</f>
        <v>11571520.688888686</v>
      </c>
      <c r="E24" s="162">
        <f t="shared" si="7"/>
        <v>325060.34019690572</v>
      </c>
      <c r="F24" s="161">
        <f t="shared" si="8"/>
        <v>11246460.34869178</v>
      </c>
      <c r="G24" s="163">
        <f t="shared" si="9"/>
        <v>1665514.3529778563</v>
      </c>
      <c r="H24" s="145">
        <f t="shared" si="10"/>
        <v>1665514.3529778563</v>
      </c>
      <c r="I24" s="158">
        <f t="shared" si="6"/>
        <v>0</v>
      </c>
      <c r="J24" s="158"/>
      <c r="K24" s="316"/>
      <c r="L24" s="160">
        <f t="shared" si="11"/>
        <v>0</v>
      </c>
      <c r="M24" s="316"/>
      <c r="N24" s="160">
        <f t="shared" si="4"/>
        <v>0</v>
      </c>
      <c r="O24" s="160">
        <f t="shared" si="5"/>
        <v>0</v>
      </c>
      <c r="P24" s="4"/>
      <c r="R24" s="1"/>
      <c r="S24" s="1"/>
      <c r="T24" s="1"/>
      <c r="U24" s="1"/>
    </row>
    <row r="25" spans="2:21">
      <c r="B25" t="str">
        <f t="shared" si="0"/>
        <v/>
      </c>
      <c r="C25" s="155">
        <f>IF(D11="","-",+C24+1)</f>
        <v>2021</v>
      </c>
      <c r="D25" s="164">
        <f>IF(F24+SUM(E$17:E24)=D$10,F24,D$10-SUM(E$17:E24))</f>
        <v>11246460.34869178</v>
      </c>
      <c r="E25" s="162">
        <f t="shared" si="7"/>
        <v>325060.34019690572</v>
      </c>
      <c r="F25" s="161">
        <f t="shared" si="8"/>
        <v>10921400.008494874</v>
      </c>
      <c r="G25" s="163">
        <f t="shared" si="9"/>
        <v>1627322.6797798413</v>
      </c>
      <c r="H25" s="145">
        <f t="shared" si="10"/>
        <v>1627322.6797798413</v>
      </c>
      <c r="I25" s="158">
        <f t="shared" si="6"/>
        <v>0</v>
      </c>
      <c r="J25" s="158"/>
      <c r="K25" s="316"/>
      <c r="L25" s="160">
        <f t="shared" si="11"/>
        <v>0</v>
      </c>
      <c r="M25" s="316"/>
      <c r="N25" s="160">
        <f t="shared" si="4"/>
        <v>0</v>
      </c>
      <c r="O25" s="160">
        <f t="shared" si="5"/>
        <v>0</v>
      </c>
      <c r="P25" s="4"/>
      <c r="R25" s="1"/>
      <c r="S25" s="1"/>
      <c r="T25" s="1"/>
      <c r="U25" s="1"/>
    </row>
    <row r="26" spans="2:21">
      <c r="B26" t="str">
        <f t="shared" si="0"/>
        <v/>
      </c>
      <c r="C26" s="155">
        <f>IF(D11="","-",+C25+1)</f>
        <v>2022</v>
      </c>
      <c r="D26" s="164">
        <f>IF(F25+SUM(E$17:E25)=D$10,F25,D$10-SUM(E$17:E25))</f>
        <v>10921400.008494874</v>
      </c>
      <c r="E26" s="162">
        <f t="shared" si="7"/>
        <v>325060.34019690572</v>
      </c>
      <c r="F26" s="161">
        <f t="shared" si="8"/>
        <v>10596339.668297969</v>
      </c>
      <c r="G26" s="163">
        <f t="shared" si="9"/>
        <v>1589131.0065818271</v>
      </c>
      <c r="H26" s="145">
        <f t="shared" si="10"/>
        <v>1589131.0065818271</v>
      </c>
      <c r="I26" s="158">
        <f t="shared" si="6"/>
        <v>0</v>
      </c>
      <c r="J26" s="158"/>
      <c r="K26" s="316"/>
      <c r="L26" s="160">
        <f t="shared" si="11"/>
        <v>0</v>
      </c>
      <c r="M26" s="316"/>
      <c r="N26" s="160">
        <f t="shared" si="4"/>
        <v>0</v>
      </c>
      <c r="O26" s="160">
        <f t="shared" si="5"/>
        <v>0</v>
      </c>
      <c r="P26" s="4"/>
      <c r="R26" s="1"/>
      <c r="S26" s="1"/>
      <c r="T26" s="1"/>
      <c r="U26" s="1"/>
    </row>
    <row r="27" spans="2:21">
      <c r="B27" t="str">
        <f t="shared" si="0"/>
        <v/>
      </c>
      <c r="C27" s="155">
        <f>IF(D11="","-",+C26+1)</f>
        <v>2023</v>
      </c>
      <c r="D27" s="164">
        <f>IF(F26+SUM(E$17:E26)=D$10,F26,D$10-SUM(E$17:E26))</f>
        <v>10596339.668297969</v>
      </c>
      <c r="E27" s="162">
        <f t="shared" si="7"/>
        <v>325060.34019690572</v>
      </c>
      <c r="F27" s="161">
        <f t="shared" si="8"/>
        <v>10271279.328101063</v>
      </c>
      <c r="G27" s="163">
        <f t="shared" si="9"/>
        <v>1550939.3333838123</v>
      </c>
      <c r="H27" s="145">
        <f t="shared" si="10"/>
        <v>1550939.3333838123</v>
      </c>
      <c r="I27" s="158">
        <f t="shared" si="6"/>
        <v>0</v>
      </c>
      <c r="J27" s="158"/>
      <c r="K27" s="316"/>
      <c r="L27" s="160">
        <f t="shared" si="11"/>
        <v>0</v>
      </c>
      <c r="M27" s="316"/>
      <c r="N27" s="160">
        <f t="shared" si="4"/>
        <v>0</v>
      </c>
      <c r="O27" s="160">
        <f t="shared" si="5"/>
        <v>0</v>
      </c>
      <c r="P27" s="4"/>
      <c r="R27" s="1"/>
      <c r="S27" s="1"/>
      <c r="T27" s="1"/>
      <c r="U27" s="1"/>
    </row>
    <row r="28" spans="2:21">
      <c r="B28" t="str">
        <f t="shared" si="0"/>
        <v/>
      </c>
      <c r="C28" s="155">
        <f>IF(D11="","-",+C27+1)</f>
        <v>2024</v>
      </c>
      <c r="D28" s="164">
        <f>IF(F27+SUM(E$17:E27)=D$10,F27,D$10-SUM(E$17:E27))</f>
        <v>10271279.328101063</v>
      </c>
      <c r="E28" s="162">
        <f t="shared" si="7"/>
        <v>325060.34019690572</v>
      </c>
      <c r="F28" s="161">
        <f t="shared" si="8"/>
        <v>9946218.9879041575</v>
      </c>
      <c r="G28" s="163">
        <f t="shared" si="9"/>
        <v>1512747.6601857981</v>
      </c>
      <c r="H28" s="145">
        <f t="shared" si="10"/>
        <v>1512747.6601857981</v>
      </c>
      <c r="I28" s="158">
        <f t="shared" si="6"/>
        <v>0</v>
      </c>
      <c r="J28" s="158"/>
      <c r="K28" s="316"/>
      <c r="L28" s="160">
        <f t="shared" si="11"/>
        <v>0</v>
      </c>
      <c r="M28" s="316"/>
      <c r="N28" s="160">
        <f t="shared" si="4"/>
        <v>0</v>
      </c>
      <c r="O28" s="160">
        <f t="shared" si="5"/>
        <v>0</v>
      </c>
      <c r="P28" s="4"/>
      <c r="R28" s="1"/>
      <c r="S28" s="1"/>
      <c r="T28" s="1"/>
      <c r="U28" s="1"/>
    </row>
    <row r="29" spans="2:21">
      <c r="B29" t="str">
        <f t="shared" si="0"/>
        <v/>
      </c>
      <c r="C29" s="155">
        <f>IF(D11="","-",+C28+1)</f>
        <v>2025</v>
      </c>
      <c r="D29" s="164">
        <f>IF(F28+SUM(E$17:E28)=D$10,F28,D$10-SUM(E$17:E28))</f>
        <v>9946218.9879041575</v>
      </c>
      <c r="E29" s="162">
        <f t="shared" si="7"/>
        <v>325060.34019690572</v>
      </c>
      <c r="F29" s="161">
        <f t="shared" si="8"/>
        <v>9621158.6477072518</v>
      </c>
      <c r="G29" s="163">
        <f t="shared" si="9"/>
        <v>1474555.9869877833</v>
      </c>
      <c r="H29" s="145">
        <f t="shared" si="10"/>
        <v>1474555.9869877833</v>
      </c>
      <c r="I29" s="158">
        <f t="shared" si="6"/>
        <v>0</v>
      </c>
      <c r="J29" s="158"/>
      <c r="K29" s="316"/>
      <c r="L29" s="160">
        <f t="shared" si="11"/>
        <v>0</v>
      </c>
      <c r="M29" s="316"/>
      <c r="N29" s="160">
        <f t="shared" si="4"/>
        <v>0</v>
      </c>
      <c r="O29" s="160">
        <f t="shared" si="5"/>
        <v>0</v>
      </c>
      <c r="P29" s="4"/>
      <c r="R29" s="1"/>
      <c r="S29" s="1"/>
      <c r="T29" s="1"/>
      <c r="U29" s="1"/>
    </row>
    <row r="30" spans="2:21">
      <c r="B30" t="str">
        <f t="shared" si="0"/>
        <v/>
      </c>
      <c r="C30" s="155">
        <f>IF(D11="","-",+C29+1)</f>
        <v>2026</v>
      </c>
      <c r="D30" s="164">
        <f>IF(F29+SUM(E$17:E29)=D$10,F29,D$10-SUM(E$17:E29))</f>
        <v>9621158.6477072518</v>
      </c>
      <c r="E30" s="162">
        <f t="shared" si="7"/>
        <v>325060.34019690572</v>
      </c>
      <c r="F30" s="161">
        <f t="shared" si="8"/>
        <v>9296098.3075103462</v>
      </c>
      <c r="G30" s="163">
        <f t="shared" si="9"/>
        <v>1436364.3137897688</v>
      </c>
      <c r="H30" s="145">
        <f t="shared" si="10"/>
        <v>1436364.3137897688</v>
      </c>
      <c r="I30" s="158">
        <f t="shared" si="6"/>
        <v>0</v>
      </c>
      <c r="J30" s="158"/>
      <c r="K30" s="316"/>
      <c r="L30" s="160">
        <f t="shared" si="11"/>
        <v>0</v>
      </c>
      <c r="M30" s="316"/>
      <c r="N30" s="160">
        <f t="shared" si="4"/>
        <v>0</v>
      </c>
      <c r="O30" s="160">
        <f t="shared" si="5"/>
        <v>0</v>
      </c>
      <c r="P30" s="4"/>
      <c r="R30" s="1"/>
      <c r="S30" s="1"/>
      <c r="T30" s="1"/>
      <c r="U30" s="1"/>
    </row>
    <row r="31" spans="2:21">
      <c r="B31" t="str">
        <f t="shared" si="0"/>
        <v/>
      </c>
      <c r="C31" s="155">
        <f>IF(D11="","-",+C30+1)</f>
        <v>2027</v>
      </c>
      <c r="D31" s="164">
        <f>IF(F30+SUM(E$17:E30)=D$10,F30,D$10-SUM(E$17:E30))</f>
        <v>9296098.3075103462</v>
      </c>
      <c r="E31" s="162">
        <f t="shared" si="7"/>
        <v>325060.34019690572</v>
      </c>
      <c r="F31" s="161">
        <f t="shared" si="8"/>
        <v>8971037.9673134405</v>
      </c>
      <c r="G31" s="163">
        <f t="shared" si="9"/>
        <v>1398172.6405917541</v>
      </c>
      <c r="H31" s="145">
        <f t="shared" si="10"/>
        <v>1398172.6405917541</v>
      </c>
      <c r="I31" s="158">
        <f t="shared" si="6"/>
        <v>0</v>
      </c>
      <c r="J31" s="158"/>
      <c r="K31" s="316"/>
      <c r="L31" s="160">
        <f t="shared" si="11"/>
        <v>0</v>
      </c>
      <c r="M31" s="316"/>
      <c r="N31" s="160">
        <f t="shared" si="4"/>
        <v>0</v>
      </c>
      <c r="O31" s="160">
        <f t="shared" si="5"/>
        <v>0</v>
      </c>
      <c r="P31" s="4"/>
      <c r="Q31" s="7"/>
      <c r="R31" s="4"/>
      <c r="S31" s="4"/>
      <c r="T31" s="4"/>
      <c r="U31" s="1"/>
    </row>
    <row r="32" spans="2:21">
      <c r="B32" t="str">
        <f t="shared" si="0"/>
        <v/>
      </c>
      <c r="C32" s="155">
        <f>IF(D12="","-",+C31+1)</f>
        <v>2028</v>
      </c>
      <c r="D32" s="164">
        <f>IF(F31+SUM(E$17:E31)=D$10,F31,D$10-SUM(E$17:E31))</f>
        <v>8971037.9673134405</v>
      </c>
      <c r="E32" s="162">
        <f>IF(+$I$14&lt;F31,$I$14,D32)</f>
        <v>325060.34019690572</v>
      </c>
      <c r="F32" s="161">
        <f>+D32-E32</f>
        <v>8645977.6271165349</v>
      </c>
      <c r="G32" s="163">
        <f t="shared" si="9"/>
        <v>1359980.9673937398</v>
      </c>
      <c r="H32" s="145">
        <f t="shared" si="10"/>
        <v>1359980.9673937398</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2029</v>
      </c>
      <c r="D33" s="164">
        <f>IF(F32+SUM(E$17:E32)=D$10,F32,D$10-SUM(E$17:E32))</f>
        <v>8645977.6271165349</v>
      </c>
      <c r="E33" s="162">
        <f>IF(+$I$14&lt;F32,$I$14,D33)</f>
        <v>325060.34019690572</v>
      </c>
      <c r="F33" s="161">
        <f>+D33-E33</f>
        <v>8320917.2869196292</v>
      </c>
      <c r="G33" s="163">
        <f t="shared" si="9"/>
        <v>1321789.2941957251</v>
      </c>
      <c r="H33" s="145">
        <f t="shared" si="10"/>
        <v>1321789.2941957251</v>
      </c>
      <c r="I33" s="158">
        <f>H33-G33</f>
        <v>0</v>
      </c>
      <c r="J33" s="158"/>
      <c r="K33" s="316"/>
      <c r="L33" s="160">
        <f>IF(K33&lt;&gt;0,+G33-K33,0)</f>
        <v>0</v>
      </c>
      <c r="M33" s="316"/>
      <c r="N33" s="160">
        <f>IF(M33&lt;&gt;0,+H33-M33,0)</f>
        <v>0</v>
      </c>
      <c r="O33" s="160">
        <f>+N33-L33</f>
        <v>0</v>
      </c>
      <c r="P33" s="4"/>
      <c r="R33" s="1"/>
      <c r="S33" s="1"/>
      <c r="T33" s="1"/>
      <c r="U33" s="1"/>
    </row>
    <row r="34" spans="2:21">
      <c r="B34" t="str">
        <f t="shared" si="0"/>
        <v/>
      </c>
      <c r="C34" s="422">
        <f>IF(D11="","-",+C33+1)</f>
        <v>2030</v>
      </c>
      <c r="D34" s="431">
        <f>IF(F33+SUM(E$17:E33)=D$10,F33,D$10-SUM(E$17:E33))</f>
        <v>8320917.2869196292</v>
      </c>
      <c r="E34" s="424">
        <f t="shared" si="7"/>
        <v>325060.34019690572</v>
      </c>
      <c r="F34" s="423">
        <f t="shared" si="8"/>
        <v>7995856.9467227235</v>
      </c>
      <c r="G34" s="163">
        <f t="shared" si="9"/>
        <v>1283597.6209977106</v>
      </c>
      <c r="H34" s="145">
        <f t="shared" si="10"/>
        <v>1283597.6209977106</v>
      </c>
      <c r="I34" s="427">
        <f t="shared" si="6"/>
        <v>0</v>
      </c>
      <c r="J34" s="427"/>
      <c r="K34" s="428"/>
      <c r="L34" s="429">
        <f t="shared" si="11"/>
        <v>0</v>
      </c>
      <c r="M34" s="428"/>
      <c r="N34" s="429">
        <f t="shared" si="4"/>
        <v>0</v>
      </c>
      <c r="O34" s="429">
        <f t="shared" si="5"/>
        <v>0</v>
      </c>
      <c r="P34" s="430"/>
      <c r="Q34" s="290"/>
      <c r="R34" s="430"/>
      <c r="S34" s="430"/>
      <c r="T34" s="430"/>
      <c r="U34" s="1"/>
    </row>
    <row r="35" spans="2:21">
      <c r="B35" t="str">
        <f t="shared" si="0"/>
        <v/>
      </c>
      <c r="C35" s="155">
        <f>IF(D11="","-",+C34+1)</f>
        <v>2031</v>
      </c>
      <c r="D35" s="164">
        <f>IF(F34+SUM(E$17:E34)=D$10,F34,D$10-SUM(E$17:E34))</f>
        <v>7995856.9467227235</v>
      </c>
      <c r="E35" s="162">
        <f t="shared" si="7"/>
        <v>325060.34019690572</v>
      </c>
      <c r="F35" s="161">
        <f t="shared" si="8"/>
        <v>7670796.6065258179</v>
      </c>
      <c r="G35" s="163">
        <f t="shared" si="9"/>
        <v>1245405.9477996961</v>
      </c>
      <c r="H35" s="145">
        <f t="shared" si="10"/>
        <v>1245405.9477996961</v>
      </c>
      <c r="I35" s="158">
        <f t="shared" si="6"/>
        <v>0</v>
      </c>
      <c r="J35" s="158"/>
      <c r="K35" s="316"/>
      <c r="L35" s="160">
        <f t="shared" si="11"/>
        <v>0</v>
      </c>
      <c r="M35" s="316"/>
      <c r="N35" s="160">
        <f t="shared" si="4"/>
        <v>0</v>
      </c>
      <c r="O35" s="160">
        <f t="shared" si="5"/>
        <v>0</v>
      </c>
      <c r="P35" s="4"/>
      <c r="R35" s="1"/>
      <c r="S35" s="1"/>
      <c r="T35" s="1"/>
      <c r="U35" s="1"/>
    </row>
    <row r="36" spans="2:21">
      <c r="B36" t="str">
        <f t="shared" si="0"/>
        <v/>
      </c>
      <c r="C36" s="155">
        <f>IF(D11="","-",+C35+1)</f>
        <v>2032</v>
      </c>
      <c r="D36" s="164">
        <f>IF(F35+SUM(E$17:E35)=D$10,F35,D$10-SUM(E$17:E35))</f>
        <v>7670796.6065258179</v>
      </c>
      <c r="E36" s="162">
        <f t="shared" si="7"/>
        <v>325060.34019690572</v>
      </c>
      <c r="F36" s="161">
        <f t="shared" si="8"/>
        <v>7345736.2663289122</v>
      </c>
      <c r="G36" s="163">
        <f t="shared" si="9"/>
        <v>1207214.2746016816</v>
      </c>
      <c r="H36" s="145">
        <f t="shared" si="10"/>
        <v>1207214.2746016816</v>
      </c>
      <c r="I36" s="158">
        <f t="shared" si="6"/>
        <v>0</v>
      </c>
      <c r="J36" s="158"/>
      <c r="K36" s="316"/>
      <c r="L36" s="160">
        <f t="shared" si="11"/>
        <v>0</v>
      </c>
      <c r="M36" s="316"/>
      <c r="N36" s="160">
        <f t="shared" si="4"/>
        <v>0</v>
      </c>
      <c r="O36" s="160">
        <f t="shared" si="5"/>
        <v>0</v>
      </c>
      <c r="P36" s="4"/>
      <c r="R36" s="1"/>
      <c r="S36" s="1"/>
      <c r="T36" s="1"/>
      <c r="U36" s="1"/>
    </row>
    <row r="37" spans="2:21">
      <c r="B37" t="str">
        <f t="shared" si="0"/>
        <v/>
      </c>
      <c r="C37" s="155">
        <f>IF(D11="","-",+C36+1)</f>
        <v>2033</v>
      </c>
      <c r="D37" s="164">
        <f>IF(F36+SUM(E$17:E36)=D$10,F36,D$10-SUM(E$17:E36))</f>
        <v>7345736.2663289122</v>
      </c>
      <c r="E37" s="162">
        <f t="shared" si="7"/>
        <v>325060.34019690572</v>
      </c>
      <c r="F37" s="161">
        <f t="shared" si="8"/>
        <v>7020675.9261320066</v>
      </c>
      <c r="G37" s="163">
        <f t="shared" si="9"/>
        <v>1169022.6014036669</v>
      </c>
      <c r="H37" s="145">
        <f t="shared" si="10"/>
        <v>1169022.6014036669</v>
      </c>
      <c r="I37" s="158">
        <f t="shared" si="6"/>
        <v>0</v>
      </c>
      <c r="J37" s="158"/>
      <c r="K37" s="316"/>
      <c r="L37" s="160">
        <f t="shared" si="11"/>
        <v>0</v>
      </c>
      <c r="M37" s="316"/>
      <c r="N37" s="160">
        <f t="shared" si="4"/>
        <v>0</v>
      </c>
      <c r="O37" s="160">
        <f t="shared" si="5"/>
        <v>0</v>
      </c>
      <c r="P37" s="4"/>
      <c r="R37" s="1"/>
      <c r="S37" s="1"/>
      <c r="T37" s="1"/>
      <c r="U37" s="1"/>
    </row>
    <row r="38" spans="2:21">
      <c r="B38" t="str">
        <f t="shared" si="0"/>
        <v/>
      </c>
      <c r="C38" s="155">
        <f>IF(D11="","-",+C37+1)</f>
        <v>2034</v>
      </c>
      <c r="D38" s="164">
        <f>IF(F37+SUM(E$17:E37)=D$10,F37,D$10-SUM(E$17:E37))</f>
        <v>7020675.9261320066</v>
      </c>
      <c r="E38" s="162">
        <f t="shared" si="7"/>
        <v>325060.34019690572</v>
      </c>
      <c r="F38" s="161">
        <f t="shared" si="8"/>
        <v>6695615.5859351009</v>
      </c>
      <c r="G38" s="163">
        <f t="shared" si="9"/>
        <v>1130830.9282056524</v>
      </c>
      <c r="H38" s="145">
        <f t="shared" si="10"/>
        <v>1130830.9282056524</v>
      </c>
      <c r="I38" s="158">
        <f t="shared" si="6"/>
        <v>0</v>
      </c>
      <c r="J38" s="158"/>
      <c r="K38" s="316"/>
      <c r="L38" s="160">
        <f t="shared" si="11"/>
        <v>0</v>
      </c>
      <c r="M38" s="316"/>
      <c r="N38" s="160">
        <f t="shared" si="4"/>
        <v>0</v>
      </c>
      <c r="O38" s="160">
        <f t="shared" si="5"/>
        <v>0</v>
      </c>
      <c r="P38" s="4"/>
      <c r="R38" s="1"/>
      <c r="S38" s="1"/>
      <c r="T38" s="1"/>
      <c r="U38" s="1"/>
    </row>
    <row r="39" spans="2:21">
      <c r="B39" t="str">
        <f t="shared" si="0"/>
        <v/>
      </c>
      <c r="C39" s="155">
        <f>IF(D11="","-",+C38+1)</f>
        <v>2035</v>
      </c>
      <c r="D39" s="164">
        <f>IF(F38+SUM(E$17:E38)=D$10,F38,D$10-SUM(E$17:E38))</f>
        <v>6695615.5859351009</v>
      </c>
      <c r="E39" s="162">
        <f t="shared" si="7"/>
        <v>325060.34019690572</v>
      </c>
      <c r="F39" s="161">
        <f t="shared" si="8"/>
        <v>6370555.2457381953</v>
      </c>
      <c r="G39" s="163">
        <f t="shared" si="9"/>
        <v>1092639.2550076379</v>
      </c>
      <c r="H39" s="145">
        <f t="shared" si="10"/>
        <v>1092639.2550076379</v>
      </c>
      <c r="I39" s="158">
        <f t="shared" si="6"/>
        <v>0</v>
      </c>
      <c r="J39" s="158"/>
      <c r="K39" s="316"/>
      <c r="L39" s="160">
        <f t="shared" si="11"/>
        <v>0</v>
      </c>
      <c r="M39" s="316"/>
      <c r="N39" s="160">
        <f t="shared" si="4"/>
        <v>0</v>
      </c>
      <c r="O39" s="160">
        <f t="shared" si="5"/>
        <v>0</v>
      </c>
      <c r="P39" s="4"/>
      <c r="R39" s="1"/>
      <c r="S39" s="1"/>
      <c r="T39" s="1"/>
      <c r="U39" s="1"/>
    </row>
    <row r="40" spans="2:21">
      <c r="B40" t="str">
        <f t="shared" si="0"/>
        <v/>
      </c>
      <c r="C40" s="155">
        <f>IF(D11="","-",+C39+1)</f>
        <v>2036</v>
      </c>
      <c r="D40" s="164">
        <f>IF(F39+SUM(E$17:E39)=D$10,F39,D$10-SUM(E$17:E39))</f>
        <v>6370555.2457381953</v>
      </c>
      <c r="E40" s="162">
        <f t="shared" si="7"/>
        <v>325060.34019690572</v>
      </c>
      <c r="F40" s="161">
        <f t="shared" si="8"/>
        <v>6045494.9055412896</v>
      </c>
      <c r="G40" s="163">
        <f t="shared" si="9"/>
        <v>1054447.5818096234</v>
      </c>
      <c r="H40" s="145">
        <f t="shared" si="10"/>
        <v>1054447.5818096234</v>
      </c>
      <c r="I40" s="158">
        <f t="shared" si="6"/>
        <v>0</v>
      </c>
      <c r="J40" s="158"/>
      <c r="K40" s="316"/>
      <c r="L40" s="160">
        <f t="shared" si="11"/>
        <v>0</v>
      </c>
      <c r="M40" s="316"/>
      <c r="N40" s="160">
        <f t="shared" si="4"/>
        <v>0</v>
      </c>
      <c r="O40" s="160">
        <f t="shared" si="5"/>
        <v>0</v>
      </c>
      <c r="P40" s="4"/>
      <c r="R40" s="1"/>
      <c r="S40" s="1"/>
      <c r="T40" s="1"/>
      <c r="U40" s="1"/>
    </row>
    <row r="41" spans="2:21">
      <c r="B41" t="str">
        <f t="shared" si="0"/>
        <v/>
      </c>
      <c r="C41" s="155">
        <f>IF(D12="","-",+C40+1)</f>
        <v>2037</v>
      </c>
      <c r="D41" s="164">
        <f>IF(F40+SUM(E$17:E40)=D$10,F40,D$10-SUM(E$17:E40))</f>
        <v>6045494.9055412896</v>
      </c>
      <c r="E41" s="162">
        <f t="shared" si="7"/>
        <v>325060.34019690572</v>
      </c>
      <c r="F41" s="161">
        <f t="shared" si="8"/>
        <v>5720434.5653443839</v>
      </c>
      <c r="G41" s="163">
        <f t="shared" si="9"/>
        <v>1016255.9086116087</v>
      </c>
      <c r="H41" s="145">
        <f t="shared" si="10"/>
        <v>1016255.9086116087</v>
      </c>
      <c r="I41" s="158">
        <f t="shared" si="6"/>
        <v>0</v>
      </c>
      <c r="J41" s="158"/>
      <c r="K41" s="316"/>
      <c r="L41" s="160">
        <f t="shared" si="11"/>
        <v>0</v>
      </c>
      <c r="M41" s="316"/>
      <c r="N41" s="160">
        <f t="shared" si="4"/>
        <v>0</v>
      </c>
      <c r="O41" s="160">
        <f t="shared" si="5"/>
        <v>0</v>
      </c>
      <c r="P41" s="4"/>
      <c r="R41" s="1"/>
      <c r="S41" s="1"/>
      <c r="T41" s="1"/>
      <c r="U41" s="1"/>
    </row>
    <row r="42" spans="2:21">
      <c r="B42" t="str">
        <f t="shared" si="0"/>
        <v/>
      </c>
      <c r="C42" s="155">
        <f>IF(D13="","-",+C41+1)</f>
        <v>2038</v>
      </c>
      <c r="D42" s="164">
        <f>IF(F41+SUM(E$17:E41)=D$10,F41,D$10-SUM(E$17:E41))</f>
        <v>5720434.5653443839</v>
      </c>
      <c r="E42" s="162">
        <f t="shared" si="7"/>
        <v>325060.34019690572</v>
      </c>
      <c r="F42" s="161">
        <f t="shared" si="8"/>
        <v>5395374.2251474783</v>
      </c>
      <c r="G42" s="163">
        <f t="shared" si="9"/>
        <v>978064.23541359417</v>
      </c>
      <c r="H42" s="145">
        <f t="shared" si="10"/>
        <v>978064.23541359417</v>
      </c>
      <c r="I42" s="158">
        <f t="shared" si="6"/>
        <v>0</v>
      </c>
      <c r="J42" s="158"/>
      <c r="K42" s="316"/>
      <c r="L42" s="160">
        <f t="shared" si="11"/>
        <v>0</v>
      </c>
      <c r="M42" s="316"/>
      <c r="N42" s="160">
        <f t="shared" si="4"/>
        <v>0</v>
      </c>
      <c r="O42" s="160">
        <f t="shared" si="5"/>
        <v>0</v>
      </c>
      <c r="P42" s="4"/>
      <c r="R42" s="1"/>
      <c r="S42" s="1"/>
      <c r="T42" s="1"/>
      <c r="U42" s="1"/>
    </row>
    <row r="43" spans="2:21">
      <c r="B43" t="str">
        <f t="shared" si="0"/>
        <v/>
      </c>
      <c r="C43" s="155">
        <f>IF(D11="","-",+C42+1)</f>
        <v>2039</v>
      </c>
      <c r="D43" s="164">
        <f>IF(F42+SUM(E$17:E42)=D$10,F42,D$10-SUM(E$17:E42))</f>
        <v>5395374.2251474783</v>
      </c>
      <c r="E43" s="162">
        <f t="shared" si="7"/>
        <v>325060.34019690572</v>
      </c>
      <c r="F43" s="161">
        <f t="shared" si="8"/>
        <v>5070313.8849505726</v>
      </c>
      <c r="G43" s="163">
        <f t="shared" si="9"/>
        <v>939872.56221557967</v>
      </c>
      <c r="H43" s="145">
        <f t="shared" si="10"/>
        <v>939872.56221557967</v>
      </c>
      <c r="I43" s="158">
        <f t="shared" si="6"/>
        <v>0</v>
      </c>
      <c r="J43" s="158"/>
      <c r="K43" s="316"/>
      <c r="L43" s="160">
        <f t="shared" si="11"/>
        <v>0</v>
      </c>
      <c r="M43" s="316"/>
      <c r="N43" s="160">
        <f t="shared" si="4"/>
        <v>0</v>
      </c>
      <c r="O43" s="160">
        <f t="shared" si="5"/>
        <v>0</v>
      </c>
      <c r="P43" s="4"/>
      <c r="R43" s="1"/>
      <c r="S43" s="1"/>
      <c r="T43" s="1"/>
      <c r="U43" s="1"/>
    </row>
    <row r="44" spans="2:21">
      <c r="B44" t="str">
        <f t="shared" si="0"/>
        <v/>
      </c>
      <c r="C44" s="155">
        <f>IF(D11="","-",+C43+1)</f>
        <v>2040</v>
      </c>
      <c r="D44" s="164">
        <f>IF(F43+SUM(E$17:E43)=D$10,F43,D$10-SUM(E$17:E43))</f>
        <v>5070313.8849505726</v>
      </c>
      <c r="E44" s="162">
        <f t="shared" si="7"/>
        <v>325060.34019690572</v>
      </c>
      <c r="F44" s="161">
        <f t="shared" si="8"/>
        <v>4745253.544753667</v>
      </c>
      <c r="G44" s="163">
        <f t="shared" si="9"/>
        <v>901680.88901756518</v>
      </c>
      <c r="H44" s="145">
        <f t="shared" si="10"/>
        <v>901680.88901756518</v>
      </c>
      <c r="I44" s="158">
        <f t="shared" si="6"/>
        <v>0</v>
      </c>
      <c r="J44" s="158"/>
      <c r="K44" s="316"/>
      <c r="L44" s="160">
        <f t="shared" si="11"/>
        <v>0</v>
      </c>
      <c r="M44" s="316"/>
      <c r="N44" s="160">
        <f t="shared" si="4"/>
        <v>0</v>
      </c>
      <c r="O44" s="160">
        <f t="shared" si="5"/>
        <v>0</v>
      </c>
      <c r="P44" s="4"/>
      <c r="R44" s="1"/>
      <c r="S44" s="1"/>
      <c r="T44" s="1"/>
      <c r="U44" s="1"/>
    </row>
    <row r="45" spans="2:21">
      <c r="B45" t="str">
        <f t="shared" si="0"/>
        <v/>
      </c>
      <c r="C45" s="155">
        <f>IF(D11="","-",+C44+1)</f>
        <v>2041</v>
      </c>
      <c r="D45" s="164">
        <f>IF(F44+SUM(E$17:E44)=D$10,F44,D$10-SUM(E$17:E44))</f>
        <v>4745253.544753667</v>
      </c>
      <c r="E45" s="162">
        <f t="shared" si="7"/>
        <v>325060.34019690572</v>
      </c>
      <c r="F45" s="161">
        <f t="shared" si="8"/>
        <v>4420193.2045567613</v>
      </c>
      <c r="G45" s="163">
        <f t="shared" si="9"/>
        <v>863489.21581955068</v>
      </c>
      <c r="H45" s="145">
        <f t="shared" si="10"/>
        <v>863489.21581955068</v>
      </c>
      <c r="I45" s="158">
        <f t="shared" si="6"/>
        <v>0</v>
      </c>
      <c r="J45" s="158"/>
      <c r="K45" s="316"/>
      <c r="L45" s="160">
        <f t="shared" si="11"/>
        <v>0</v>
      </c>
      <c r="M45" s="316"/>
      <c r="N45" s="160">
        <f t="shared" si="4"/>
        <v>0</v>
      </c>
      <c r="O45" s="160">
        <f t="shared" si="5"/>
        <v>0</v>
      </c>
      <c r="P45" s="4"/>
      <c r="R45" s="1"/>
      <c r="S45" s="1"/>
      <c r="T45" s="1"/>
      <c r="U45" s="1"/>
    </row>
    <row r="46" spans="2:21">
      <c r="B46" t="str">
        <f t="shared" si="0"/>
        <v/>
      </c>
      <c r="C46" s="155">
        <f>IF(D11="","-",+C45+1)</f>
        <v>2042</v>
      </c>
      <c r="D46" s="164">
        <f>IF(F45+SUM(E$17:E45)=D$10,F45,D$10-SUM(E$17:E45))</f>
        <v>4420193.2045567613</v>
      </c>
      <c r="E46" s="162">
        <f t="shared" si="7"/>
        <v>325060.34019690572</v>
      </c>
      <c r="F46" s="161">
        <f t="shared" si="8"/>
        <v>4095132.8643598557</v>
      </c>
      <c r="G46" s="163">
        <f t="shared" si="9"/>
        <v>825297.54262153595</v>
      </c>
      <c r="H46" s="145">
        <f t="shared" si="10"/>
        <v>825297.54262153595</v>
      </c>
      <c r="I46" s="158">
        <f t="shared" si="6"/>
        <v>0</v>
      </c>
      <c r="J46" s="158"/>
      <c r="K46" s="316"/>
      <c r="L46" s="160">
        <f t="shared" si="11"/>
        <v>0</v>
      </c>
      <c r="M46" s="316"/>
      <c r="N46" s="160">
        <f t="shared" si="4"/>
        <v>0</v>
      </c>
      <c r="O46" s="160">
        <f t="shared" si="5"/>
        <v>0</v>
      </c>
      <c r="P46" s="4"/>
      <c r="R46" s="1"/>
      <c r="S46" s="1"/>
      <c r="T46" s="1"/>
      <c r="U46" s="1"/>
    </row>
    <row r="47" spans="2:21">
      <c r="B47" t="str">
        <f t="shared" si="0"/>
        <v/>
      </c>
      <c r="C47" s="155">
        <f>IF(D11="","-",+C46+1)</f>
        <v>2043</v>
      </c>
      <c r="D47" s="164">
        <f>IF(F46+SUM(E$17:E46)=D$10,F46,D$10-SUM(E$17:E46))</f>
        <v>4095132.8643598557</v>
      </c>
      <c r="E47" s="162">
        <f t="shared" si="7"/>
        <v>325060.34019690572</v>
      </c>
      <c r="F47" s="161">
        <f t="shared" si="8"/>
        <v>3770072.52416295</v>
      </c>
      <c r="G47" s="163">
        <f t="shared" si="9"/>
        <v>787105.86942352145</v>
      </c>
      <c r="H47" s="145">
        <f t="shared" si="10"/>
        <v>787105.86942352145</v>
      </c>
      <c r="I47" s="158">
        <f t="shared" si="6"/>
        <v>0</v>
      </c>
      <c r="J47" s="158"/>
      <c r="K47" s="316"/>
      <c r="L47" s="160">
        <f t="shared" si="11"/>
        <v>0</v>
      </c>
      <c r="M47" s="316"/>
      <c r="N47" s="160">
        <f t="shared" si="4"/>
        <v>0</v>
      </c>
      <c r="O47" s="160">
        <f t="shared" si="5"/>
        <v>0</v>
      </c>
      <c r="P47" s="4"/>
      <c r="R47" s="1"/>
      <c r="S47" s="1"/>
      <c r="T47" s="1"/>
      <c r="U47" s="1"/>
    </row>
    <row r="48" spans="2:21">
      <c r="B48" t="str">
        <f t="shared" si="0"/>
        <v/>
      </c>
      <c r="C48" s="155">
        <f>IF(D11="","-",+C47+1)</f>
        <v>2044</v>
      </c>
      <c r="D48" s="164">
        <f>IF(F47+SUM(E$17:E47)=D$10,F47,D$10-SUM(E$17:E47))</f>
        <v>3770072.52416295</v>
      </c>
      <c r="E48" s="162">
        <f t="shared" si="7"/>
        <v>325060.34019690572</v>
      </c>
      <c r="F48" s="161">
        <f t="shared" si="8"/>
        <v>3445012.1839660443</v>
      </c>
      <c r="G48" s="163">
        <f t="shared" si="9"/>
        <v>748914.19622550695</v>
      </c>
      <c r="H48" s="145">
        <f t="shared" si="10"/>
        <v>748914.19622550695</v>
      </c>
      <c r="I48" s="158">
        <f t="shared" si="6"/>
        <v>0</v>
      </c>
      <c r="J48" s="158"/>
      <c r="K48" s="316"/>
      <c r="L48" s="160">
        <f t="shared" si="11"/>
        <v>0</v>
      </c>
      <c r="M48" s="316"/>
      <c r="N48" s="160">
        <f t="shared" si="4"/>
        <v>0</v>
      </c>
      <c r="O48" s="160">
        <f t="shared" si="5"/>
        <v>0</v>
      </c>
      <c r="P48" s="4"/>
      <c r="R48" s="1"/>
      <c r="S48" s="1"/>
      <c r="T48" s="1"/>
      <c r="U48" s="1"/>
    </row>
    <row r="49" spans="2:21">
      <c r="B49" t="str">
        <f t="shared" si="0"/>
        <v/>
      </c>
      <c r="C49" s="155">
        <f>IF(D11="","-",+C48+1)</f>
        <v>2045</v>
      </c>
      <c r="D49" s="164">
        <f>IF(F48+SUM(E$17:E48)=D$10,F48,D$10-SUM(E$17:E48))</f>
        <v>3445012.1839660443</v>
      </c>
      <c r="E49" s="162">
        <f t="shared" si="7"/>
        <v>325060.34019690572</v>
      </c>
      <c r="F49" s="161">
        <f t="shared" si="8"/>
        <v>3119951.8437691387</v>
      </c>
      <c r="G49" s="163">
        <f t="shared" si="9"/>
        <v>710722.52302749234</v>
      </c>
      <c r="H49" s="145">
        <f t="shared" si="10"/>
        <v>710722.52302749234</v>
      </c>
      <c r="I49" s="158">
        <f t="shared" si="6"/>
        <v>0</v>
      </c>
      <c r="J49" s="158"/>
      <c r="K49" s="316"/>
      <c r="L49" s="160">
        <f t="shared" si="11"/>
        <v>0</v>
      </c>
      <c r="M49" s="316"/>
      <c r="N49" s="160">
        <f t="shared" si="4"/>
        <v>0</v>
      </c>
      <c r="O49" s="160">
        <f t="shared" si="5"/>
        <v>0</v>
      </c>
      <c r="P49" s="4"/>
      <c r="R49" s="1"/>
      <c r="S49" s="1"/>
      <c r="T49" s="1"/>
      <c r="U49" s="1"/>
    </row>
    <row r="50" spans="2:21">
      <c r="B50" t="str">
        <f t="shared" si="0"/>
        <v/>
      </c>
      <c r="C50" s="155">
        <f>IF(D11="","-",+C49+1)</f>
        <v>2046</v>
      </c>
      <c r="D50" s="164">
        <f>IF(F49+SUM(E$17:E49)=D$10,F49,D$10-SUM(E$17:E49))</f>
        <v>3119951.8437691387</v>
      </c>
      <c r="E50" s="162">
        <f t="shared" si="7"/>
        <v>325060.34019690572</v>
      </c>
      <c r="F50" s="161">
        <f t="shared" si="8"/>
        <v>2794891.503572233</v>
      </c>
      <c r="G50" s="163">
        <f t="shared" si="9"/>
        <v>672530.84982947784</v>
      </c>
      <c r="H50" s="145">
        <f t="shared" si="10"/>
        <v>672530.84982947784</v>
      </c>
      <c r="I50" s="158">
        <f t="shared" si="6"/>
        <v>0</v>
      </c>
      <c r="J50" s="158"/>
      <c r="K50" s="316"/>
      <c r="L50" s="160">
        <f t="shared" si="11"/>
        <v>0</v>
      </c>
      <c r="M50" s="316"/>
      <c r="N50" s="160">
        <f t="shared" si="4"/>
        <v>0</v>
      </c>
      <c r="O50" s="160">
        <f t="shared" si="5"/>
        <v>0</v>
      </c>
      <c r="P50" s="4"/>
      <c r="R50" s="1"/>
      <c r="S50" s="1"/>
      <c r="T50" s="1"/>
      <c r="U50" s="1"/>
    </row>
    <row r="51" spans="2:21">
      <c r="B51" t="str">
        <f t="shared" si="0"/>
        <v/>
      </c>
      <c r="C51" s="155">
        <f>IF(D11="","-",+C50+1)</f>
        <v>2047</v>
      </c>
      <c r="D51" s="164">
        <f>IF(F50+SUM(E$17:E50)=D$10,F50,D$10-SUM(E$17:E50))</f>
        <v>2794891.503572233</v>
      </c>
      <c r="E51" s="162">
        <f t="shared" si="7"/>
        <v>325060.34019690572</v>
      </c>
      <c r="F51" s="161">
        <f t="shared" si="8"/>
        <v>2469831.1633753274</v>
      </c>
      <c r="G51" s="163">
        <f t="shared" si="9"/>
        <v>634339.17663146323</v>
      </c>
      <c r="H51" s="145">
        <f t="shared" si="10"/>
        <v>634339.17663146323</v>
      </c>
      <c r="I51" s="158">
        <f t="shared" si="6"/>
        <v>0</v>
      </c>
      <c r="J51" s="158"/>
      <c r="K51" s="316"/>
      <c r="L51" s="160">
        <f t="shared" si="11"/>
        <v>0</v>
      </c>
      <c r="M51" s="316"/>
      <c r="N51" s="160">
        <f t="shared" si="4"/>
        <v>0</v>
      </c>
      <c r="O51" s="160">
        <f t="shared" si="5"/>
        <v>0</v>
      </c>
      <c r="P51" s="4"/>
      <c r="R51" s="1"/>
      <c r="S51" s="1"/>
      <c r="T51" s="1"/>
      <c r="U51" s="1"/>
    </row>
    <row r="52" spans="2:21">
      <c r="B52" t="str">
        <f t="shared" si="0"/>
        <v/>
      </c>
      <c r="C52" s="155">
        <f>IF(D11="","-",+C51+1)</f>
        <v>2048</v>
      </c>
      <c r="D52" s="164">
        <f>IF(F51+SUM(E$17:E51)=D$10,F51,D$10-SUM(E$17:E51))</f>
        <v>2469831.1633753274</v>
      </c>
      <c r="E52" s="162">
        <f t="shared" si="7"/>
        <v>325060.34019690572</v>
      </c>
      <c r="F52" s="161">
        <f t="shared" si="8"/>
        <v>2144770.8231784217</v>
      </c>
      <c r="G52" s="163">
        <f t="shared" si="9"/>
        <v>596147.50343344873</v>
      </c>
      <c r="H52" s="145">
        <f t="shared" si="10"/>
        <v>596147.50343344873</v>
      </c>
      <c r="I52" s="158">
        <f t="shared" si="6"/>
        <v>0</v>
      </c>
      <c r="J52" s="158"/>
      <c r="K52" s="316"/>
      <c r="L52" s="160">
        <f t="shared" si="11"/>
        <v>0</v>
      </c>
      <c r="M52" s="316"/>
      <c r="N52" s="160">
        <f t="shared" si="4"/>
        <v>0</v>
      </c>
      <c r="O52" s="160">
        <f t="shared" si="5"/>
        <v>0</v>
      </c>
      <c r="P52" s="4"/>
      <c r="R52" s="1"/>
      <c r="S52" s="1"/>
      <c r="T52" s="1"/>
      <c r="U52" s="1"/>
    </row>
    <row r="53" spans="2:21">
      <c r="B53" t="str">
        <f t="shared" si="0"/>
        <v/>
      </c>
      <c r="C53" s="155">
        <f>IF(D11="","-",+C52+1)</f>
        <v>2049</v>
      </c>
      <c r="D53" s="164">
        <f>IF(F52+SUM(E$17:E52)=D$10,F52,D$10-SUM(E$17:E52))</f>
        <v>2144770.8231784217</v>
      </c>
      <c r="E53" s="162">
        <f t="shared" si="7"/>
        <v>325060.34019690572</v>
      </c>
      <c r="F53" s="161">
        <f t="shared" si="8"/>
        <v>1819710.482981516</v>
      </c>
      <c r="G53" s="163">
        <f t="shared" si="9"/>
        <v>557955.83023543423</v>
      </c>
      <c r="H53" s="145">
        <f t="shared" si="10"/>
        <v>557955.83023543423</v>
      </c>
      <c r="I53" s="158">
        <f t="shared" si="6"/>
        <v>0</v>
      </c>
      <c r="J53" s="158"/>
      <c r="K53" s="316"/>
      <c r="L53" s="160">
        <f t="shared" si="11"/>
        <v>0</v>
      </c>
      <c r="M53" s="316"/>
      <c r="N53" s="160">
        <f t="shared" si="4"/>
        <v>0</v>
      </c>
      <c r="O53" s="160">
        <f t="shared" si="5"/>
        <v>0</v>
      </c>
      <c r="P53" s="4"/>
      <c r="R53" s="1"/>
      <c r="S53" s="1"/>
      <c r="T53" s="1"/>
      <c r="U53" s="1"/>
    </row>
    <row r="54" spans="2:21">
      <c r="B54" t="str">
        <f t="shared" si="0"/>
        <v/>
      </c>
      <c r="C54" s="155">
        <f>IF(D11="","-",+C53+1)</f>
        <v>2050</v>
      </c>
      <c r="D54" s="164">
        <f>IF(F53+SUM(E$17:E53)=D$10,F53,D$10-SUM(E$17:E53))</f>
        <v>1819710.482981516</v>
      </c>
      <c r="E54" s="162">
        <f t="shared" si="7"/>
        <v>325060.34019690572</v>
      </c>
      <c r="F54" s="161">
        <f t="shared" si="8"/>
        <v>1494650.1427846104</v>
      </c>
      <c r="G54" s="163">
        <f t="shared" si="9"/>
        <v>519764.15703741962</v>
      </c>
      <c r="H54" s="145">
        <f t="shared" si="10"/>
        <v>519764.15703741962</v>
      </c>
      <c r="I54" s="158">
        <f t="shared" si="6"/>
        <v>0</v>
      </c>
      <c r="J54" s="158"/>
      <c r="K54" s="316"/>
      <c r="L54" s="160">
        <f t="shared" si="11"/>
        <v>0</v>
      </c>
      <c r="M54" s="316"/>
      <c r="N54" s="160">
        <f t="shared" si="4"/>
        <v>0</v>
      </c>
      <c r="O54" s="160">
        <f t="shared" si="5"/>
        <v>0</v>
      </c>
      <c r="P54" s="4"/>
      <c r="R54" s="1"/>
      <c r="S54" s="1"/>
      <c r="T54" s="1"/>
      <c r="U54" s="1"/>
    </row>
    <row r="55" spans="2:21">
      <c r="B55" t="str">
        <f t="shared" si="0"/>
        <v/>
      </c>
      <c r="C55" s="155">
        <f>IF(D11="","-",+C54+1)</f>
        <v>2051</v>
      </c>
      <c r="D55" s="164">
        <f>IF(F54+SUM(E$17:E54)=D$10,F54,D$10-SUM(E$17:E54))</f>
        <v>1494650.1427846104</v>
      </c>
      <c r="E55" s="162">
        <f t="shared" si="7"/>
        <v>325060.34019690572</v>
      </c>
      <c r="F55" s="161">
        <f t="shared" si="8"/>
        <v>1169589.8025877047</v>
      </c>
      <c r="G55" s="163">
        <f t="shared" si="9"/>
        <v>481572.48383940506</v>
      </c>
      <c r="H55" s="145">
        <f t="shared" si="10"/>
        <v>481572.48383940506</v>
      </c>
      <c r="I55" s="158">
        <f t="shared" si="6"/>
        <v>0</v>
      </c>
      <c r="J55" s="158"/>
      <c r="K55" s="316"/>
      <c r="L55" s="160">
        <f t="shared" si="11"/>
        <v>0</v>
      </c>
      <c r="M55" s="316"/>
      <c r="N55" s="160">
        <f t="shared" si="4"/>
        <v>0</v>
      </c>
      <c r="O55" s="160">
        <f t="shared" si="5"/>
        <v>0</v>
      </c>
      <c r="P55" s="4"/>
      <c r="R55" s="1"/>
      <c r="S55" s="1"/>
      <c r="T55" s="1"/>
      <c r="U55" s="1"/>
    </row>
    <row r="56" spans="2:21">
      <c r="B56" t="str">
        <f t="shared" si="0"/>
        <v/>
      </c>
      <c r="C56" s="155">
        <f>IF(D11="","-",+C55+1)</f>
        <v>2052</v>
      </c>
      <c r="D56" s="164">
        <f>IF(F55+SUM(E$17:E55)=D$10,F55,D$10-SUM(E$17:E55))</f>
        <v>1169589.8025877047</v>
      </c>
      <c r="E56" s="162">
        <f t="shared" si="7"/>
        <v>325060.34019690572</v>
      </c>
      <c r="F56" s="161">
        <f t="shared" si="8"/>
        <v>844529.46239079908</v>
      </c>
      <c r="G56" s="163">
        <f t="shared" si="9"/>
        <v>443380.8106413905</v>
      </c>
      <c r="H56" s="145">
        <f t="shared" si="10"/>
        <v>443380.8106413905</v>
      </c>
      <c r="I56" s="158">
        <f t="shared" si="6"/>
        <v>0</v>
      </c>
      <c r="J56" s="158"/>
      <c r="K56" s="316"/>
      <c r="L56" s="160">
        <f t="shared" si="11"/>
        <v>0</v>
      </c>
      <c r="M56" s="316"/>
      <c r="N56" s="160">
        <f t="shared" si="4"/>
        <v>0</v>
      </c>
      <c r="O56" s="160">
        <f t="shared" si="5"/>
        <v>0</v>
      </c>
      <c r="P56" s="4"/>
      <c r="R56" s="1"/>
      <c r="S56" s="1"/>
      <c r="T56" s="1"/>
      <c r="U56" s="1"/>
    </row>
    <row r="57" spans="2:21">
      <c r="B57" t="str">
        <f t="shared" si="0"/>
        <v/>
      </c>
      <c r="C57" s="155">
        <f>IF(D11="","-",+C56+1)</f>
        <v>2053</v>
      </c>
      <c r="D57" s="164">
        <f>IF(F56+SUM(E$17:E56)=D$10,F56,D$10-SUM(E$17:E56))</f>
        <v>844529.46239079908</v>
      </c>
      <c r="E57" s="162">
        <f t="shared" si="7"/>
        <v>325060.34019690572</v>
      </c>
      <c r="F57" s="161">
        <f t="shared" si="8"/>
        <v>519469.12219389336</v>
      </c>
      <c r="G57" s="163">
        <f t="shared" si="9"/>
        <v>405189.13744337595</v>
      </c>
      <c r="H57" s="145">
        <f t="shared" si="10"/>
        <v>405189.13744337595</v>
      </c>
      <c r="I57" s="158">
        <f t="shared" si="6"/>
        <v>0</v>
      </c>
      <c r="J57" s="158"/>
      <c r="K57" s="316"/>
      <c r="L57" s="160">
        <f t="shared" si="11"/>
        <v>0</v>
      </c>
      <c r="M57" s="316"/>
      <c r="N57" s="160">
        <f t="shared" si="4"/>
        <v>0</v>
      </c>
      <c r="O57" s="160">
        <f t="shared" si="5"/>
        <v>0</v>
      </c>
      <c r="P57" s="4"/>
      <c r="R57" s="1"/>
      <c r="S57" s="1"/>
      <c r="T57" s="1"/>
      <c r="U57" s="1"/>
    </row>
    <row r="58" spans="2:21">
      <c r="B58" t="str">
        <f t="shared" si="0"/>
        <v/>
      </c>
      <c r="C58" s="155">
        <f>IF(D11="","-",+C57+1)</f>
        <v>2054</v>
      </c>
      <c r="D58" s="164">
        <f>IF(F57+SUM(E$17:E57)=D$10,F57,D$10-SUM(E$17:E57))</f>
        <v>519469.12219389336</v>
      </c>
      <c r="E58" s="162">
        <f t="shared" si="7"/>
        <v>325060.34019690572</v>
      </c>
      <c r="F58" s="161">
        <f t="shared" si="8"/>
        <v>194408.78199698764</v>
      </c>
      <c r="G58" s="163">
        <f t="shared" si="9"/>
        <v>366997.46424536139</v>
      </c>
      <c r="H58" s="145">
        <f t="shared" si="10"/>
        <v>366997.46424536139</v>
      </c>
      <c r="I58" s="158">
        <f t="shared" si="6"/>
        <v>0</v>
      </c>
      <c r="J58" s="158"/>
      <c r="K58" s="316"/>
      <c r="L58" s="160">
        <f t="shared" si="11"/>
        <v>0</v>
      </c>
      <c r="M58" s="316"/>
      <c r="N58" s="160">
        <f t="shared" si="4"/>
        <v>0</v>
      </c>
      <c r="O58" s="160">
        <f t="shared" si="5"/>
        <v>0</v>
      </c>
      <c r="P58" s="4"/>
      <c r="R58" s="1"/>
      <c r="S58" s="1"/>
      <c r="T58" s="1"/>
      <c r="U58" s="1"/>
    </row>
    <row r="59" spans="2:21">
      <c r="B59" t="str">
        <f t="shared" si="0"/>
        <v/>
      </c>
      <c r="C59" s="155">
        <f>IF(D11="","-",+C58+1)</f>
        <v>2055</v>
      </c>
      <c r="D59" s="164">
        <f>IF(F58+SUM(E$17:E58)=D$10,F58,D$10-SUM(E$17:E58))</f>
        <v>194408.78199698764</v>
      </c>
      <c r="E59" s="162">
        <f t="shared" si="7"/>
        <v>194408.78199698764</v>
      </c>
      <c r="F59" s="161">
        <f t="shared" si="8"/>
        <v>0</v>
      </c>
      <c r="G59" s="163">
        <f t="shared" si="9"/>
        <v>205829.42572171183</v>
      </c>
      <c r="H59" s="145">
        <f t="shared" si="10"/>
        <v>205829.42572171183</v>
      </c>
      <c r="I59" s="158">
        <f t="shared" si="6"/>
        <v>0</v>
      </c>
      <c r="J59" s="158"/>
      <c r="K59" s="316"/>
      <c r="L59" s="160">
        <f t="shared" si="11"/>
        <v>0</v>
      </c>
      <c r="M59" s="316"/>
      <c r="N59" s="160">
        <f t="shared" si="4"/>
        <v>0</v>
      </c>
      <c r="O59" s="160">
        <f t="shared" si="5"/>
        <v>0</v>
      </c>
      <c r="P59" s="4"/>
      <c r="R59" s="1"/>
      <c r="S59" s="1"/>
      <c r="T59" s="1"/>
      <c r="U59" s="1"/>
    </row>
    <row r="60" spans="2:21">
      <c r="B60" t="str">
        <f t="shared" si="0"/>
        <v/>
      </c>
      <c r="C60" s="155">
        <f>IF(D11="","-",+C59+1)</f>
        <v>2056</v>
      </c>
      <c r="D60" s="164">
        <f>IF(F59+SUM(E$17:E59)=D$10,F59,D$10-SUM(E$17:E59))</f>
        <v>0</v>
      </c>
      <c r="E60" s="162">
        <f t="shared" si="7"/>
        <v>0</v>
      </c>
      <c r="F60" s="161">
        <f t="shared" si="8"/>
        <v>0</v>
      </c>
      <c r="G60" s="163">
        <f t="shared" si="9"/>
        <v>0</v>
      </c>
      <c r="H60" s="145">
        <f t="shared" si="10"/>
        <v>0</v>
      </c>
      <c r="I60" s="158">
        <f t="shared" si="6"/>
        <v>0</v>
      </c>
      <c r="J60" s="158"/>
      <c r="K60" s="316"/>
      <c r="L60" s="160">
        <f t="shared" si="11"/>
        <v>0</v>
      </c>
      <c r="M60" s="316"/>
      <c r="N60" s="160">
        <f t="shared" si="4"/>
        <v>0</v>
      </c>
      <c r="O60" s="160">
        <f t="shared" si="5"/>
        <v>0</v>
      </c>
      <c r="P60" s="4"/>
      <c r="R60" s="1"/>
      <c r="S60" s="1"/>
      <c r="T60" s="1"/>
      <c r="U60" s="1"/>
    </row>
    <row r="61" spans="2:21">
      <c r="B61" t="str">
        <f t="shared" si="0"/>
        <v/>
      </c>
      <c r="C61" s="155">
        <f>IF(D11="","-",+C60+1)</f>
        <v>2057</v>
      </c>
      <c r="D61" s="164">
        <f>IF(F60+SUM(E$17:E60)=D$10,F60,D$10-SUM(E$17:E60))</f>
        <v>0</v>
      </c>
      <c r="E61" s="162">
        <f t="shared" si="7"/>
        <v>0</v>
      </c>
      <c r="F61" s="161">
        <f t="shared" si="8"/>
        <v>0</v>
      </c>
      <c r="G61" s="163">
        <f t="shared" si="9"/>
        <v>0</v>
      </c>
      <c r="H61" s="145">
        <f t="shared" si="10"/>
        <v>0</v>
      </c>
      <c r="I61" s="158">
        <f t="shared" si="6"/>
        <v>0</v>
      </c>
      <c r="J61" s="158"/>
      <c r="K61" s="316"/>
      <c r="L61" s="160">
        <f t="shared" si="11"/>
        <v>0</v>
      </c>
      <c r="M61" s="316"/>
      <c r="N61" s="160">
        <f t="shared" si="4"/>
        <v>0</v>
      </c>
      <c r="O61" s="160">
        <f t="shared" si="5"/>
        <v>0</v>
      </c>
      <c r="P61" s="4"/>
      <c r="R61" s="1"/>
      <c r="S61" s="1"/>
      <c r="T61" s="1"/>
      <c r="U61" s="1"/>
    </row>
    <row r="62" spans="2:21">
      <c r="B62" t="str">
        <f t="shared" si="0"/>
        <v/>
      </c>
      <c r="C62" s="155">
        <f>IF(D11="","-",+C61+1)</f>
        <v>2058</v>
      </c>
      <c r="D62" s="164">
        <f>IF(F61+SUM(E$17:E61)=D$10,F61,D$10-SUM(E$17:E61))</f>
        <v>0</v>
      </c>
      <c r="E62" s="162">
        <f t="shared" si="7"/>
        <v>0</v>
      </c>
      <c r="F62" s="161">
        <f t="shared" si="8"/>
        <v>0</v>
      </c>
      <c r="G62" s="163">
        <f t="shared" si="9"/>
        <v>0</v>
      </c>
      <c r="H62" s="145">
        <f t="shared" si="10"/>
        <v>0</v>
      </c>
      <c r="I62" s="158">
        <f t="shared" si="6"/>
        <v>0</v>
      </c>
      <c r="J62" s="158"/>
      <c r="K62" s="316"/>
      <c r="L62" s="160">
        <f t="shared" si="11"/>
        <v>0</v>
      </c>
      <c r="M62" s="316"/>
      <c r="N62" s="160">
        <f t="shared" si="4"/>
        <v>0</v>
      </c>
      <c r="O62" s="160">
        <f t="shared" si="5"/>
        <v>0</v>
      </c>
      <c r="P62" s="4"/>
      <c r="R62" s="1"/>
      <c r="S62" s="1"/>
      <c r="T62" s="1"/>
      <c r="U62" s="1"/>
    </row>
    <row r="63" spans="2:21">
      <c r="B63" t="str">
        <f t="shared" si="0"/>
        <v/>
      </c>
      <c r="C63" s="155">
        <f>IF(D11="","-",+C62+1)</f>
        <v>2059</v>
      </c>
      <c r="D63" s="164">
        <f>IF(F62+SUM(E$17:E62)=D$10,F62,D$10-SUM(E$17:E62))</f>
        <v>0</v>
      </c>
      <c r="E63" s="162">
        <f t="shared" si="7"/>
        <v>0</v>
      </c>
      <c r="F63" s="161">
        <f t="shared" si="8"/>
        <v>0</v>
      </c>
      <c r="G63" s="163">
        <f t="shared" si="9"/>
        <v>0</v>
      </c>
      <c r="H63" s="145">
        <f t="shared" si="10"/>
        <v>0</v>
      </c>
      <c r="I63" s="158">
        <f t="shared" si="6"/>
        <v>0</v>
      </c>
      <c r="J63" s="158"/>
      <c r="K63" s="316"/>
      <c r="L63" s="160">
        <f t="shared" si="11"/>
        <v>0</v>
      </c>
      <c r="M63" s="316"/>
      <c r="N63" s="160">
        <f t="shared" si="4"/>
        <v>0</v>
      </c>
      <c r="O63" s="160">
        <f t="shared" si="5"/>
        <v>0</v>
      </c>
      <c r="P63" s="4"/>
      <c r="R63" s="1"/>
      <c r="S63" s="1"/>
      <c r="T63" s="1"/>
      <c r="U63" s="1"/>
    </row>
    <row r="64" spans="2:21">
      <c r="B64" t="str">
        <f t="shared" si="0"/>
        <v/>
      </c>
      <c r="C64" s="155">
        <f>IF(D11="","-",+C63+1)</f>
        <v>2060</v>
      </c>
      <c r="D64" s="164">
        <f>IF(F63+SUM(E$17:E63)=D$10,F63,D$10-SUM(E$17:E63))</f>
        <v>0</v>
      </c>
      <c r="E64" s="162">
        <f t="shared" si="7"/>
        <v>0</v>
      </c>
      <c r="F64" s="161">
        <f t="shared" si="8"/>
        <v>0</v>
      </c>
      <c r="G64" s="163">
        <f t="shared" si="9"/>
        <v>0</v>
      </c>
      <c r="H64" s="145">
        <f t="shared" si="10"/>
        <v>0</v>
      </c>
      <c r="I64" s="158">
        <f t="shared" si="6"/>
        <v>0</v>
      </c>
      <c r="J64" s="158"/>
      <c r="K64" s="316"/>
      <c r="L64" s="160">
        <f t="shared" si="11"/>
        <v>0</v>
      </c>
      <c r="M64" s="316"/>
      <c r="N64" s="160">
        <f t="shared" si="4"/>
        <v>0</v>
      </c>
      <c r="O64" s="160">
        <f t="shared" si="5"/>
        <v>0</v>
      </c>
      <c r="P64" s="4"/>
      <c r="R64" s="1"/>
      <c r="S64" s="1"/>
      <c r="T64" s="1"/>
      <c r="U64" s="1"/>
    </row>
    <row r="65" spans="2:21">
      <c r="B65" t="str">
        <f t="shared" si="0"/>
        <v/>
      </c>
      <c r="C65" s="155">
        <f>IF(D11="","-",+C64+1)</f>
        <v>2061</v>
      </c>
      <c r="D65" s="164">
        <f>IF(F64+SUM(E$17:E64)=D$10,F64,D$10-SUM(E$17:E64))</f>
        <v>0</v>
      </c>
      <c r="E65" s="162">
        <f t="shared" si="7"/>
        <v>0</v>
      </c>
      <c r="F65" s="161">
        <f t="shared" si="8"/>
        <v>0</v>
      </c>
      <c r="G65" s="163">
        <f t="shared" si="9"/>
        <v>0</v>
      </c>
      <c r="H65" s="145">
        <f t="shared" si="10"/>
        <v>0</v>
      </c>
      <c r="I65" s="158">
        <f t="shared" si="6"/>
        <v>0</v>
      </c>
      <c r="J65" s="158"/>
      <c r="K65" s="316"/>
      <c r="L65" s="160">
        <f t="shared" si="11"/>
        <v>0</v>
      </c>
      <c r="M65" s="316"/>
      <c r="N65" s="160">
        <f t="shared" si="4"/>
        <v>0</v>
      </c>
      <c r="O65" s="160">
        <f t="shared" si="5"/>
        <v>0</v>
      </c>
      <c r="P65" s="4"/>
      <c r="R65" s="1"/>
      <c r="S65" s="1"/>
      <c r="T65" s="1"/>
      <c r="U65" s="1"/>
    </row>
    <row r="66" spans="2:21">
      <c r="B66" t="str">
        <f t="shared" si="0"/>
        <v/>
      </c>
      <c r="C66" s="155">
        <f>IF(D11="","-",+C65+1)</f>
        <v>2062</v>
      </c>
      <c r="D66" s="164">
        <f>IF(F65+SUM(E$17:E65)=D$10,F65,D$10-SUM(E$17:E65))</f>
        <v>0</v>
      </c>
      <c r="E66" s="162">
        <f t="shared" si="7"/>
        <v>0</v>
      </c>
      <c r="F66" s="161">
        <f t="shared" si="8"/>
        <v>0</v>
      </c>
      <c r="G66" s="163">
        <f t="shared" si="9"/>
        <v>0</v>
      </c>
      <c r="H66" s="145">
        <f t="shared" si="10"/>
        <v>0</v>
      </c>
      <c r="I66" s="158">
        <f t="shared" si="6"/>
        <v>0</v>
      </c>
      <c r="J66" s="158"/>
      <c r="K66" s="316"/>
      <c r="L66" s="160">
        <f t="shared" si="11"/>
        <v>0</v>
      </c>
      <c r="M66" s="316"/>
      <c r="N66" s="160">
        <f t="shared" si="4"/>
        <v>0</v>
      </c>
      <c r="O66" s="160">
        <f t="shared" si="5"/>
        <v>0</v>
      </c>
      <c r="P66" s="4"/>
      <c r="R66" s="1"/>
      <c r="S66" s="1"/>
      <c r="T66" s="1"/>
      <c r="U66" s="1"/>
    </row>
    <row r="67" spans="2:21">
      <c r="B67" t="str">
        <f t="shared" si="0"/>
        <v/>
      </c>
      <c r="C67" s="155">
        <f>IF(D11="","-",+C66+1)</f>
        <v>2063</v>
      </c>
      <c r="D67" s="164">
        <f>IF(F66+SUM(E$17:E66)=D$10,F66,D$10-SUM(E$17:E66))</f>
        <v>0</v>
      </c>
      <c r="E67" s="162">
        <f t="shared" si="7"/>
        <v>0</v>
      </c>
      <c r="F67" s="161">
        <f t="shared" si="8"/>
        <v>0</v>
      </c>
      <c r="G67" s="163">
        <f t="shared" si="9"/>
        <v>0</v>
      </c>
      <c r="H67" s="145">
        <f t="shared" si="10"/>
        <v>0</v>
      </c>
      <c r="I67" s="158">
        <f t="shared" si="6"/>
        <v>0</v>
      </c>
      <c r="J67" s="158"/>
      <c r="K67" s="316"/>
      <c r="L67" s="160">
        <f t="shared" si="11"/>
        <v>0</v>
      </c>
      <c r="M67" s="316"/>
      <c r="N67" s="160">
        <f t="shared" si="4"/>
        <v>0</v>
      </c>
      <c r="O67" s="160">
        <f t="shared" si="5"/>
        <v>0</v>
      </c>
      <c r="P67" s="4"/>
      <c r="R67" s="1"/>
      <c r="S67" s="1"/>
      <c r="T67" s="1"/>
      <c r="U67" s="1"/>
    </row>
    <row r="68" spans="2:21">
      <c r="B68" t="str">
        <f t="shared" si="0"/>
        <v/>
      </c>
      <c r="C68" s="155">
        <f>IF(D11="","-",+C67+1)</f>
        <v>2064</v>
      </c>
      <c r="D68" s="164">
        <f>IF(F67+SUM(E$17:E67)=D$10,F67,D$10-SUM(E$17:E67))</f>
        <v>0</v>
      </c>
      <c r="E68" s="162">
        <f t="shared" si="7"/>
        <v>0</v>
      </c>
      <c r="F68" s="161">
        <f t="shared" si="8"/>
        <v>0</v>
      </c>
      <c r="G68" s="163">
        <f t="shared" si="9"/>
        <v>0</v>
      </c>
      <c r="H68" s="145">
        <f t="shared" si="10"/>
        <v>0</v>
      </c>
      <c r="I68" s="158">
        <f t="shared" si="6"/>
        <v>0</v>
      </c>
      <c r="J68" s="158"/>
      <c r="K68" s="316"/>
      <c r="L68" s="160">
        <f t="shared" si="11"/>
        <v>0</v>
      </c>
      <c r="M68" s="316"/>
      <c r="N68" s="160">
        <f t="shared" si="4"/>
        <v>0</v>
      </c>
      <c r="O68" s="160">
        <f t="shared" si="5"/>
        <v>0</v>
      </c>
      <c r="P68" s="4"/>
      <c r="R68" s="1"/>
      <c r="S68" s="1"/>
      <c r="T68" s="1"/>
      <c r="U68" s="1"/>
    </row>
    <row r="69" spans="2:21">
      <c r="B69" t="str">
        <f t="shared" si="0"/>
        <v/>
      </c>
      <c r="C69" s="155">
        <f>IF(D11="","-",+C68+1)</f>
        <v>2065</v>
      </c>
      <c r="D69" s="164">
        <f>IF(F68+SUM(E$17:E68)=D$10,F68,D$10-SUM(E$17:E68))</f>
        <v>0</v>
      </c>
      <c r="E69" s="162">
        <f t="shared" si="7"/>
        <v>0</v>
      </c>
      <c r="F69" s="161">
        <f t="shared" si="8"/>
        <v>0</v>
      </c>
      <c r="G69" s="163">
        <f t="shared" si="9"/>
        <v>0</v>
      </c>
      <c r="H69" s="145">
        <f t="shared" si="10"/>
        <v>0</v>
      </c>
      <c r="I69" s="158">
        <f t="shared" si="6"/>
        <v>0</v>
      </c>
      <c r="J69" s="158"/>
      <c r="K69" s="316"/>
      <c r="L69" s="160">
        <f t="shared" si="11"/>
        <v>0</v>
      </c>
      <c r="M69" s="316"/>
      <c r="N69" s="160">
        <f t="shared" si="4"/>
        <v>0</v>
      </c>
      <c r="O69" s="160">
        <f t="shared" si="5"/>
        <v>0</v>
      </c>
      <c r="P69" s="4"/>
      <c r="R69" s="1"/>
      <c r="S69" s="1"/>
      <c r="T69" s="1"/>
      <c r="U69" s="1"/>
    </row>
    <row r="70" spans="2:21">
      <c r="B70" t="str">
        <f t="shared" si="0"/>
        <v/>
      </c>
      <c r="C70" s="155">
        <f>IF(D11="","-",+C69+1)</f>
        <v>2066</v>
      </c>
      <c r="D70" s="164">
        <f>IF(F69+SUM(E$17:E69)=D$10,F69,D$10-SUM(E$17:E69))</f>
        <v>0</v>
      </c>
      <c r="E70" s="162">
        <f t="shared" si="7"/>
        <v>0</v>
      </c>
      <c r="F70" s="161">
        <f t="shared" si="8"/>
        <v>0</v>
      </c>
      <c r="G70" s="163">
        <f t="shared" si="9"/>
        <v>0</v>
      </c>
      <c r="H70" s="145">
        <f t="shared" si="10"/>
        <v>0</v>
      </c>
      <c r="I70" s="158">
        <f t="shared" si="6"/>
        <v>0</v>
      </c>
      <c r="J70" s="158"/>
      <c r="K70" s="316"/>
      <c r="L70" s="160">
        <f t="shared" si="11"/>
        <v>0</v>
      </c>
      <c r="M70" s="316"/>
      <c r="N70" s="160">
        <f t="shared" si="4"/>
        <v>0</v>
      </c>
      <c r="O70" s="160">
        <f t="shared" si="5"/>
        <v>0</v>
      </c>
      <c r="P70" s="4"/>
      <c r="R70" s="1"/>
      <c r="S70" s="1"/>
      <c r="T70" s="1"/>
      <c r="U70" s="1"/>
    </row>
    <row r="71" spans="2:21">
      <c r="B71" t="str">
        <f t="shared" si="0"/>
        <v/>
      </c>
      <c r="C71" s="155">
        <f>IF(D11="","-",+C70+1)</f>
        <v>2067</v>
      </c>
      <c r="D71" s="164">
        <f>IF(F70+SUM(E$17:E70)=D$10,F70,D$10-SUM(E$17:E70))</f>
        <v>0</v>
      </c>
      <c r="E71" s="162">
        <f t="shared" si="7"/>
        <v>0</v>
      </c>
      <c r="F71" s="161">
        <f t="shared" si="8"/>
        <v>0</v>
      </c>
      <c r="G71" s="163">
        <f t="shared" si="9"/>
        <v>0</v>
      </c>
      <c r="H71" s="145">
        <f t="shared" si="10"/>
        <v>0</v>
      </c>
      <c r="I71" s="158">
        <f t="shared" si="6"/>
        <v>0</v>
      </c>
      <c r="J71" s="158"/>
      <c r="K71" s="316"/>
      <c r="L71" s="160">
        <f t="shared" si="11"/>
        <v>0</v>
      </c>
      <c r="M71" s="316"/>
      <c r="N71" s="160">
        <f t="shared" si="4"/>
        <v>0</v>
      </c>
      <c r="O71" s="160">
        <f t="shared" si="5"/>
        <v>0</v>
      </c>
      <c r="P71" s="4"/>
      <c r="R71" s="1"/>
      <c r="S71" s="1"/>
      <c r="T71" s="1"/>
      <c r="U71" s="1"/>
    </row>
    <row r="72" spans="2:21">
      <c r="B72" t="str">
        <f t="shared" si="0"/>
        <v/>
      </c>
      <c r="C72" s="155">
        <f>IF(D11="","-",+C71+1)</f>
        <v>2068</v>
      </c>
      <c r="D72" s="164">
        <f>IF(F71+SUM(E$17:E71)=D$10,F71,D$10-SUM(E$17:E71))</f>
        <v>0</v>
      </c>
      <c r="E72" s="162">
        <f t="shared" si="7"/>
        <v>0</v>
      </c>
      <c r="F72" s="161">
        <f t="shared" si="8"/>
        <v>0</v>
      </c>
      <c r="G72" s="163">
        <f t="shared" si="9"/>
        <v>0</v>
      </c>
      <c r="H72" s="145">
        <f t="shared" si="10"/>
        <v>0</v>
      </c>
      <c r="I72" s="158">
        <f t="shared" si="6"/>
        <v>0</v>
      </c>
      <c r="J72" s="158"/>
      <c r="K72" s="316"/>
      <c r="L72" s="160">
        <f t="shared" si="11"/>
        <v>0</v>
      </c>
      <c r="M72" s="316"/>
      <c r="N72" s="160">
        <f t="shared" si="4"/>
        <v>0</v>
      </c>
      <c r="O72" s="160">
        <f t="shared" si="5"/>
        <v>0</v>
      </c>
      <c r="P72" s="4"/>
      <c r="R72" s="1"/>
      <c r="S72" s="1"/>
      <c r="T72" s="1"/>
      <c r="U72" s="1"/>
    </row>
    <row r="73" spans="2:21" ht="13.5" thickBot="1">
      <c r="B73" t="str">
        <f t="shared" si="0"/>
        <v/>
      </c>
      <c r="C73" s="166">
        <f>IF(D11="","-",+C72+1)</f>
        <v>2069</v>
      </c>
      <c r="D73" s="349">
        <f>IF(F72+SUM(E$17:E72)=D$10,F72,D$10-SUM(E$17:E72))</f>
        <v>0</v>
      </c>
      <c r="E73" s="168">
        <f t="shared" si="7"/>
        <v>0</v>
      </c>
      <c r="F73" s="167">
        <f t="shared" si="8"/>
        <v>0</v>
      </c>
      <c r="G73" s="167">
        <f t="shared" si="9"/>
        <v>0</v>
      </c>
      <c r="H73" s="167">
        <f t="shared" si="10"/>
        <v>0</v>
      </c>
      <c r="I73" s="170">
        <f t="shared" si="6"/>
        <v>0</v>
      </c>
      <c r="J73" s="158"/>
      <c r="K73" s="317"/>
      <c r="L73" s="171">
        <f t="shared" si="11"/>
        <v>0</v>
      </c>
      <c r="M73" s="317"/>
      <c r="N73" s="171">
        <f t="shared" si="4"/>
        <v>0</v>
      </c>
      <c r="O73" s="171">
        <f t="shared" si="5"/>
        <v>0</v>
      </c>
      <c r="P73" s="4"/>
      <c r="R73" s="1"/>
      <c r="S73" s="1"/>
      <c r="T73" s="1"/>
      <c r="U73" s="1"/>
    </row>
    <row r="74" spans="2:21">
      <c r="C74" s="156" t="s">
        <v>75</v>
      </c>
      <c r="D74" s="112"/>
      <c r="E74" s="112">
        <f>SUM(E17:E73)</f>
        <v>13254470.189999999</v>
      </c>
      <c r="F74" s="112"/>
      <c r="G74" s="112">
        <f>SUM(G17:G73)</f>
        <v>46065114.269152299</v>
      </c>
      <c r="H74" s="112">
        <f>SUM(H17:H73)</f>
        <v>46065114.269152299</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12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1741897.6993738853</v>
      </c>
      <c r="N88" s="198">
        <f>IF(J93&lt;D11,0,VLOOKUP(J93,C17:O73,11))</f>
        <v>1741897.6993738853</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1656357.447097271</v>
      </c>
      <c r="N89" s="200">
        <f>IF(J93&lt;D11,0,VLOOKUP(J93,C100:P155,7))</f>
        <v>1656357.447097271</v>
      </c>
      <c r="O89" s="201">
        <f>+N89-M89</f>
        <v>0</v>
      </c>
      <c r="P89" s="1"/>
      <c r="Q89" s="1"/>
      <c r="R89" s="1"/>
      <c r="S89" s="1"/>
      <c r="T89" s="1"/>
      <c r="U89" s="1"/>
    </row>
    <row r="90" spans="1:21" ht="13.5" thickBot="1">
      <c r="C90" s="124" t="s">
        <v>82</v>
      </c>
      <c r="D90" s="243" t="str">
        <f>+D7</f>
        <v>Darlington-Red Rock 138 kV line</v>
      </c>
      <c r="E90" s="1"/>
      <c r="F90" s="1"/>
      <c r="G90" s="1"/>
      <c r="H90" s="1"/>
      <c r="I90" s="3"/>
      <c r="J90" s="3"/>
      <c r="K90" s="256"/>
      <c r="L90" s="257" t="s">
        <v>135</v>
      </c>
      <c r="M90" s="203">
        <f>+M89-M88</f>
        <v>-85540.252276614308</v>
      </c>
      <c r="N90" s="203">
        <f>+N89-N88</f>
        <v>-85540.252276614308</v>
      </c>
      <c r="O90" s="204">
        <f>+O89-O88</f>
        <v>0</v>
      </c>
      <c r="P90" s="1"/>
      <c r="Q90" s="1"/>
      <c r="R90" s="1"/>
      <c r="S90" s="1"/>
      <c r="T90" s="1"/>
      <c r="U90" s="1"/>
    </row>
    <row r="91" spans="1:21" ht="13.5" thickBot="1">
      <c r="C91" s="172"/>
      <c r="D91" s="384" t="str">
        <f>IF(D8="","",D8)</f>
        <v>***Sch. 11 recovery commenced in 2015 rate year***</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TP2012112</v>
      </c>
      <c r="E92" s="206"/>
      <c r="F92" s="206"/>
      <c r="G92" s="206"/>
      <c r="H92" s="206"/>
      <c r="I92" s="206"/>
      <c r="J92" s="206"/>
      <c r="K92" s="207"/>
      <c r="P92" s="134"/>
      <c r="Q92" s="1"/>
      <c r="R92" s="1"/>
      <c r="S92" s="1"/>
      <c r="T92" s="1"/>
      <c r="U92" s="1"/>
    </row>
    <row r="93" spans="1:21">
      <c r="C93" s="139" t="s">
        <v>49</v>
      </c>
      <c r="D93" s="401">
        <v>13254470</v>
      </c>
      <c r="E93" s="23" t="s">
        <v>84</v>
      </c>
      <c r="H93" s="137"/>
      <c r="I93" s="137"/>
      <c r="J93" s="138">
        <f>+'OKT.WS.G.BPU.ATRR.True-up'!M16</f>
        <v>2018</v>
      </c>
      <c r="K93" s="133"/>
      <c r="L93" s="112" t="s">
        <v>85</v>
      </c>
      <c r="P93" s="4"/>
      <c r="Q93" s="1"/>
      <c r="R93" s="1"/>
      <c r="S93" s="1"/>
      <c r="T93" s="1"/>
      <c r="U93" s="1"/>
    </row>
    <row r="94" spans="1:21">
      <c r="C94" s="139" t="s">
        <v>52</v>
      </c>
      <c r="D94" s="218">
        <f>D11</f>
        <v>2013</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D12</f>
        <v>10</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368179.72222222225</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C100" s="155">
        <f>IF(D94= "","-",D94)</f>
        <v>2013</v>
      </c>
      <c r="D100" s="156"/>
      <c r="E100" s="163"/>
      <c r="F100" s="161"/>
      <c r="G100" s="213"/>
      <c r="H100" s="213"/>
      <c r="I100" s="213"/>
      <c r="J100" s="160"/>
      <c r="K100" s="160"/>
      <c r="L100" s="318"/>
      <c r="M100" s="340">
        <f t="shared" ref="M100:M131" si="12">IF(L100&lt;&gt;0,+H100-L100,0)</f>
        <v>0</v>
      </c>
      <c r="N100" s="318"/>
      <c r="O100" s="159">
        <f t="shared" ref="O100:O131" si="13">IF(N100&lt;&gt;0,+I100-N100,0)</f>
        <v>0</v>
      </c>
      <c r="P100" s="159">
        <f t="shared" ref="P100:P131" si="14">+O100-M100</f>
        <v>0</v>
      </c>
      <c r="Q100" s="1"/>
      <c r="R100" s="1"/>
      <c r="S100" s="1"/>
      <c r="T100" s="1"/>
      <c r="U100" s="1"/>
    </row>
    <row r="101" spans="1:21">
      <c r="C101" s="155">
        <f>IF(D94="","-",+C100+1)</f>
        <v>2014</v>
      </c>
      <c r="D101" s="156"/>
      <c r="E101" s="162"/>
      <c r="F101" s="161"/>
      <c r="G101" s="161"/>
      <c r="H101" s="314"/>
      <c r="I101" s="323"/>
      <c r="J101" s="160"/>
      <c r="K101" s="160"/>
      <c r="L101" s="344"/>
      <c r="M101" s="345">
        <f t="shared" si="12"/>
        <v>0</v>
      </c>
      <c r="N101" s="344"/>
      <c r="O101" s="160">
        <f t="shared" si="13"/>
        <v>0</v>
      </c>
      <c r="P101" s="160">
        <f t="shared" si="14"/>
        <v>0</v>
      </c>
      <c r="Q101" s="1"/>
      <c r="R101" s="1"/>
      <c r="S101" s="1"/>
      <c r="T101" s="1"/>
      <c r="U101" s="1"/>
    </row>
    <row r="102" spans="1:21">
      <c r="B102" t="str">
        <f t="shared" ref="B102:B155" si="15">IF(D102=F101,"","IU")</f>
        <v>IU</v>
      </c>
      <c r="C102" s="155">
        <f>IF(D94="","-",+C101+1)</f>
        <v>2015</v>
      </c>
      <c r="D102" s="373">
        <v>12986963.014521964</v>
      </c>
      <c r="E102" s="375">
        <v>276134.79166666669</v>
      </c>
      <c r="F102" s="377">
        <v>12710828.222855298</v>
      </c>
      <c r="G102" s="377">
        <v>12848895.618688632</v>
      </c>
      <c r="H102" s="375">
        <v>1706594.9989443137</v>
      </c>
      <c r="I102" s="376">
        <v>1706594.9989443137</v>
      </c>
      <c r="J102" s="160">
        <v>0</v>
      </c>
      <c r="K102" s="160"/>
      <c r="L102" s="344">
        <f>H102</f>
        <v>1706594.9989443137</v>
      </c>
      <c r="M102" s="160">
        <f>IF(L102&lt;&gt;0,+H102-L102,0)</f>
        <v>0</v>
      </c>
      <c r="N102" s="344">
        <f>I102</f>
        <v>1706594.9989443137</v>
      </c>
      <c r="O102" s="160">
        <f t="shared" si="13"/>
        <v>0</v>
      </c>
      <c r="P102" s="160">
        <f t="shared" si="14"/>
        <v>0</v>
      </c>
      <c r="Q102" s="1"/>
      <c r="R102" s="1"/>
      <c r="S102" s="1"/>
      <c r="T102" s="1"/>
      <c r="U102" s="1"/>
    </row>
    <row r="103" spans="1:21">
      <c r="B103" t="str">
        <f t="shared" si="15"/>
        <v>IU</v>
      </c>
      <c r="C103" s="155">
        <f>IF(D94="","-",+C102+1)</f>
        <v>2016</v>
      </c>
      <c r="D103" s="373">
        <v>12978335.208333334</v>
      </c>
      <c r="E103" s="375">
        <v>259891.56862745099</v>
      </c>
      <c r="F103" s="377">
        <v>12718443.639705883</v>
      </c>
      <c r="G103" s="377">
        <v>12848389.424019609</v>
      </c>
      <c r="H103" s="375">
        <v>1652264.5848598198</v>
      </c>
      <c r="I103" s="376">
        <v>1652264.5848598198</v>
      </c>
      <c r="J103" s="160">
        <f>+I103-H103</f>
        <v>0</v>
      </c>
      <c r="K103" s="160"/>
      <c r="L103" s="344">
        <f>H103</f>
        <v>1652264.5848598198</v>
      </c>
      <c r="M103" s="160">
        <f>IF(L103&lt;&gt;0,+H103-L103,0)</f>
        <v>0</v>
      </c>
      <c r="N103" s="344">
        <f>I103</f>
        <v>1652264.5848598198</v>
      </c>
      <c r="O103" s="160">
        <f>IF(N103&lt;&gt;0,+I103-N103,0)</f>
        <v>0</v>
      </c>
      <c r="P103" s="160">
        <f>+O103-M103</f>
        <v>0</v>
      </c>
      <c r="Q103" s="1"/>
      <c r="R103" s="1"/>
      <c r="S103" s="1"/>
      <c r="T103" s="1"/>
      <c r="U103" s="1"/>
    </row>
    <row r="104" spans="1:21">
      <c r="B104" t="str">
        <f t="shared" si="15"/>
        <v/>
      </c>
      <c r="C104" s="155">
        <f>IF(D94="","-",+C103+1)</f>
        <v>2017</v>
      </c>
      <c r="D104" s="373">
        <v>12718443.639705883</v>
      </c>
      <c r="E104" s="375">
        <v>331361.75</v>
      </c>
      <c r="F104" s="377">
        <v>12387081.889705883</v>
      </c>
      <c r="G104" s="377">
        <v>12552762.764705883</v>
      </c>
      <c r="H104" s="375">
        <v>1804251.0172391555</v>
      </c>
      <c r="I104" s="376">
        <v>1804251.0172391555</v>
      </c>
      <c r="J104" s="160">
        <v>0</v>
      </c>
      <c r="K104" s="160"/>
      <c r="L104" s="344">
        <f>H104</f>
        <v>1804251.0172391555</v>
      </c>
      <c r="M104" s="160">
        <f>IF(L104&lt;&gt;0,+H104-L104,0)</f>
        <v>0</v>
      </c>
      <c r="N104" s="344">
        <f>I104</f>
        <v>1804251.0172391555</v>
      </c>
      <c r="O104" s="160">
        <f>IF(N104&lt;&gt;0,+I104-N104,0)</f>
        <v>0</v>
      </c>
      <c r="P104" s="160">
        <f>+O104-M104</f>
        <v>0</v>
      </c>
      <c r="Q104" s="1"/>
      <c r="R104" s="1"/>
      <c r="S104" s="1"/>
      <c r="T104" s="1"/>
      <c r="U104" s="1"/>
    </row>
    <row r="105" spans="1:21">
      <c r="B105" t="str">
        <f t="shared" si="15"/>
        <v/>
      </c>
      <c r="C105" s="155">
        <f>IF(D94="","-",+C104+1)</f>
        <v>2018</v>
      </c>
      <c r="D105" s="156">
        <f>IF(F104+SUM(E$100:E104)=D$93,F104,D$93-SUM(E$100:E104))</f>
        <v>12387081.889705883</v>
      </c>
      <c r="E105" s="402">
        <f t="shared" ref="E105:E155" si="16">IF(+$J$97&lt;F104,$J$97,D105)</f>
        <v>368179.72222222225</v>
      </c>
      <c r="F105" s="161">
        <f t="shared" ref="F105:F155" si="17">+D105-E105</f>
        <v>12018902.167483661</v>
      </c>
      <c r="G105" s="161">
        <f t="shared" ref="G105:G155" si="18">+(F105+D105)/2</f>
        <v>12202992.028594773</v>
      </c>
      <c r="H105" s="403">
        <f t="shared" ref="H105:H155" si="19">+J$95*G105+E105</f>
        <v>1656357.447097271</v>
      </c>
      <c r="I105" s="404">
        <f t="shared" ref="I105:I155" si="20">+J$96*G105+E105</f>
        <v>1656357.447097271</v>
      </c>
      <c r="J105" s="160">
        <f t="shared" ref="J105:J155" si="21">+I105-H105</f>
        <v>0</v>
      </c>
      <c r="K105" s="160"/>
      <c r="L105" s="316"/>
      <c r="M105" s="160">
        <f t="shared" si="12"/>
        <v>0</v>
      </c>
      <c r="N105" s="316"/>
      <c r="O105" s="160">
        <f t="shared" si="13"/>
        <v>0</v>
      </c>
      <c r="P105" s="160">
        <f t="shared" si="14"/>
        <v>0</v>
      </c>
      <c r="Q105" s="1"/>
      <c r="R105" s="1"/>
      <c r="S105" s="1"/>
      <c r="T105" s="1"/>
      <c r="U105" s="1"/>
    </row>
    <row r="106" spans="1:21">
      <c r="B106" t="str">
        <f t="shared" si="15"/>
        <v/>
      </c>
      <c r="C106" s="155">
        <f>IF(D94="","-",+C105+1)</f>
        <v>2019</v>
      </c>
      <c r="D106" s="156">
        <f>IF(F105+SUM(E$100:E105)=D$93,F105,D$93-SUM(E$100:E105))</f>
        <v>12018902.167483661</v>
      </c>
      <c r="E106" s="402">
        <f t="shared" si="16"/>
        <v>368179.72222222225</v>
      </c>
      <c r="F106" s="161">
        <f t="shared" si="17"/>
        <v>11650722.445261439</v>
      </c>
      <c r="G106" s="161">
        <f t="shared" si="18"/>
        <v>11834812.306372549</v>
      </c>
      <c r="H106" s="403">
        <f t="shared" si="19"/>
        <v>1617491.4939108731</v>
      </c>
      <c r="I106" s="404">
        <f t="shared" si="20"/>
        <v>1617491.4939108731</v>
      </c>
      <c r="J106" s="160">
        <f t="shared" si="21"/>
        <v>0</v>
      </c>
      <c r="K106" s="160"/>
      <c r="L106" s="316"/>
      <c r="M106" s="160">
        <f t="shared" si="12"/>
        <v>0</v>
      </c>
      <c r="N106" s="316"/>
      <c r="O106" s="160">
        <f t="shared" si="13"/>
        <v>0</v>
      </c>
      <c r="P106" s="160">
        <f t="shared" si="14"/>
        <v>0</v>
      </c>
      <c r="Q106" s="1"/>
      <c r="R106" s="1"/>
      <c r="S106" s="1"/>
      <c r="T106" s="1"/>
      <c r="U106" s="1"/>
    </row>
    <row r="107" spans="1:21">
      <c r="B107" t="str">
        <f t="shared" si="15"/>
        <v/>
      </c>
      <c r="C107" s="155">
        <f>IF(D94="","-",+C106+1)</f>
        <v>2020</v>
      </c>
      <c r="D107" s="156">
        <f>IF(F106+SUM(E$100:E106)=D$93,F106,D$93-SUM(E$100:E106))</f>
        <v>11650722.445261439</v>
      </c>
      <c r="E107" s="402">
        <f t="shared" si="16"/>
        <v>368179.72222222225</v>
      </c>
      <c r="F107" s="161">
        <f t="shared" si="17"/>
        <v>11282542.723039217</v>
      </c>
      <c r="G107" s="161">
        <f t="shared" si="18"/>
        <v>11466632.584150329</v>
      </c>
      <c r="H107" s="403">
        <f t="shared" si="19"/>
        <v>1578625.5407244754</v>
      </c>
      <c r="I107" s="404">
        <f t="shared" si="20"/>
        <v>1578625.5407244754</v>
      </c>
      <c r="J107" s="160">
        <f t="shared" si="21"/>
        <v>0</v>
      </c>
      <c r="K107" s="160"/>
      <c r="L107" s="316"/>
      <c r="M107" s="160">
        <f t="shared" si="12"/>
        <v>0</v>
      </c>
      <c r="N107" s="316"/>
      <c r="O107" s="160">
        <f t="shared" si="13"/>
        <v>0</v>
      </c>
      <c r="P107" s="160">
        <f t="shared" si="14"/>
        <v>0</v>
      </c>
      <c r="Q107" s="1"/>
      <c r="R107" s="1"/>
      <c r="S107" s="1"/>
      <c r="T107" s="1"/>
      <c r="U107" s="1"/>
    </row>
    <row r="108" spans="1:21">
      <c r="B108" t="str">
        <f t="shared" si="15"/>
        <v/>
      </c>
      <c r="C108" s="155">
        <f>IF(D94="","-",+C107+1)</f>
        <v>2021</v>
      </c>
      <c r="D108" s="156">
        <f>IF(F107+SUM(E$100:E107)=D$93,F107,D$93-SUM(E$100:E107))</f>
        <v>11282542.723039217</v>
      </c>
      <c r="E108" s="402">
        <f t="shared" si="16"/>
        <v>368179.72222222225</v>
      </c>
      <c r="F108" s="161">
        <f t="shared" si="17"/>
        <v>10914363.000816995</v>
      </c>
      <c r="G108" s="161">
        <f t="shared" si="18"/>
        <v>11098452.861928105</v>
      </c>
      <c r="H108" s="403">
        <f t="shared" si="19"/>
        <v>1539759.5875380775</v>
      </c>
      <c r="I108" s="404">
        <f t="shared" si="20"/>
        <v>1539759.5875380775</v>
      </c>
      <c r="J108" s="160">
        <f t="shared" si="21"/>
        <v>0</v>
      </c>
      <c r="K108" s="160"/>
      <c r="L108" s="316"/>
      <c r="M108" s="160">
        <f t="shared" si="12"/>
        <v>0</v>
      </c>
      <c r="N108" s="316"/>
      <c r="O108" s="160">
        <f t="shared" si="13"/>
        <v>0</v>
      </c>
      <c r="P108" s="160">
        <f t="shared" si="14"/>
        <v>0</v>
      </c>
      <c r="Q108" s="1"/>
      <c r="R108" s="1"/>
      <c r="S108" s="1"/>
      <c r="T108" s="1"/>
      <c r="U108" s="1"/>
    </row>
    <row r="109" spans="1:21">
      <c r="B109" t="str">
        <f t="shared" si="15"/>
        <v/>
      </c>
      <c r="C109" s="155">
        <f>IF(D94="","-",+C108+1)</f>
        <v>2022</v>
      </c>
      <c r="D109" s="156">
        <f>IF(F108+SUM(E$100:E108)=D$93,F108,D$93-SUM(E$100:E108))</f>
        <v>10914363.000816995</v>
      </c>
      <c r="E109" s="402">
        <f t="shared" si="16"/>
        <v>368179.72222222225</v>
      </c>
      <c r="F109" s="161">
        <f t="shared" si="17"/>
        <v>10546183.278594773</v>
      </c>
      <c r="G109" s="161">
        <f t="shared" si="18"/>
        <v>10730273.139705885</v>
      </c>
      <c r="H109" s="403">
        <f t="shared" si="19"/>
        <v>1500893.6343516801</v>
      </c>
      <c r="I109" s="404">
        <f t="shared" si="20"/>
        <v>1500893.6343516801</v>
      </c>
      <c r="J109" s="160">
        <f t="shared" si="21"/>
        <v>0</v>
      </c>
      <c r="K109" s="160"/>
      <c r="L109" s="316"/>
      <c r="M109" s="160">
        <f t="shared" si="12"/>
        <v>0</v>
      </c>
      <c r="N109" s="316"/>
      <c r="O109" s="160">
        <f t="shared" si="13"/>
        <v>0</v>
      </c>
      <c r="P109" s="160">
        <f t="shared" si="14"/>
        <v>0</v>
      </c>
      <c r="Q109" s="1"/>
      <c r="R109" s="1"/>
      <c r="S109" s="1"/>
      <c r="T109" s="1"/>
      <c r="U109" s="1"/>
    </row>
    <row r="110" spans="1:21">
      <c r="B110" t="str">
        <f t="shared" si="15"/>
        <v/>
      </c>
      <c r="C110" s="155">
        <f>IF(D94="","-",+C109+1)</f>
        <v>2023</v>
      </c>
      <c r="D110" s="156">
        <f>IF(F109+SUM(E$100:E109)=D$93,F109,D$93-SUM(E$100:E109))</f>
        <v>10546183.278594773</v>
      </c>
      <c r="E110" s="402">
        <f t="shared" si="16"/>
        <v>368179.72222222225</v>
      </c>
      <c r="F110" s="161">
        <f t="shared" si="17"/>
        <v>10178003.556372551</v>
      </c>
      <c r="G110" s="161">
        <f t="shared" si="18"/>
        <v>10362093.417483661</v>
      </c>
      <c r="H110" s="403">
        <f t="shared" si="19"/>
        <v>1462027.6811652821</v>
      </c>
      <c r="I110" s="404">
        <f t="shared" si="20"/>
        <v>1462027.6811652821</v>
      </c>
      <c r="J110" s="160">
        <f t="shared" si="21"/>
        <v>0</v>
      </c>
      <c r="K110" s="160"/>
      <c r="L110" s="316"/>
      <c r="M110" s="160">
        <f t="shared" si="12"/>
        <v>0</v>
      </c>
      <c r="N110" s="316"/>
      <c r="O110" s="160">
        <f t="shared" si="13"/>
        <v>0</v>
      </c>
      <c r="P110" s="160">
        <f t="shared" si="14"/>
        <v>0</v>
      </c>
      <c r="Q110" s="1"/>
      <c r="R110" s="1"/>
      <c r="S110" s="1"/>
      <c r="T110" s="1"/>
      <c r="U110" s="1"/>
    </row>
    <row r="111" spans="1:21">
      <c r="B111" t="str">
        <f t="shared" si="15"/>
        <v/>
      </c>
      <c r="C111" s="155">
        <f>IF(D94="","-",+C110+1)</f>
        <v>2024</v>
      </c>
      <c r="D111" s="156">
        <f>IF(F110+SUM(E$100:E110)=D$93,F110,D$93-SUM(E$100:E110))</f>
        <v>10178003.556372551</v>
      </c>
      <c r="E111" s="402">
        <f t="shared" si="16"/>
        <v>368179.72222222225</v>
      </c>
      <c r="F111" s="161">
        <f t="shared" si="17"/>
        <v>9809823.8341503292</v>
      </c>
      <c r="G111" s="161">
        <f t="shared" si="18"/>
        <v>9993913.6952614412</v>
      </c>
      <c r="H111" s="403">
        <f t="shared" si="19"/>
        <v>1423161.7279788845</v>
      </c>
      <c r="I111" s="404">
        <f t="shared" si="20"/>
        <v>1423161.7279788845</v>
      </c>
      <c r="J111" s="160">
        <f t="shared" si="21"/>
        <v>0</v>
      </c>
      <c r="K111" s="160"/>
      <c r="L111" s="316"/>
      <c r="M111" s="160">
        <f t="shared" si="12"/>
        <v>0</v>
      </c>
      <c r="N111" s="316"/>
      <c r="O111" s="160">
        <f t="shared" si="13"/>
        <v>0</v>
      </c>
      <c r="P111" s="160">
        <f t="shared" si="14"/>
        <v>0</v>
      </c>
      <c r="Q111" s="1"/>
      <c r="R111" s="1"/>
      <c r="S111" s="1"/>
      <c r="T111" s="1"/>
      <c r="U111" s="1"/>
    </row>
    <row r="112" spans="1:21">
      <c r="B112" t="str">
        <f t="shared" si="15"/>
        <v/>
      </c>
      <c r="C112" s="155">
        <f>IF(D94="","-",+C111+1)</f>
        <v>2025</v>
      </c>
      <c r="D112" s="156">
        <f>IF(F111+SUM(E$100:E111)=D$93,F111,D$93-SUM(E$100:E111))</f>
        <v>9809823.8341503292</v>
      </c>
      <c r="E112" s="402">
        <f t="shared" si="16"/>
        <v>368179.72222222225</v>
      </c>
      <c r="F112" s="161">
        <f t="shared" si="17"/>
        <v>9441644.1119281072</v>
      </c>
      <c r="G112" s="161">
        <f t="shared" si="18"/>
        <v>9625733.9730392173</v>
      </c>
      <c r="H112" s="403">
        <f t="shared" si="19"/>
        <v>1384295.7747924866</v>
      </c>
      <c r="I112" s="404">
        <f t="shared" si="20"/>
        <v>1384295.7747924866</v>
      </c>
      <c r="J112" s="160">
        <f t="shared" si="21"/>
        <v>0</v>
      </c>
      <c r="K112" s="160"/>
      <c r="L112" s="316"/>
      <c r="M112" s="160">
        <f t="shared" si="12"/>
        <v>0</v>
      </c>
      <c r="N112" s="316"/>
      <c r="O112" s="160">
        <f t="shared" si="13"/>
        <v>0</v>
      </c>
      <c r="P112" s="160">
        <f t="shared" si="14"/>
        <v>0</v>
      </c>
      <c r="Q112" s="1"/>
      <c r="R112" s="1"/>
      <c r="S112" s="1"/>
      <c r="T112" s="1"/>
      <c r="U112" s="1"/>
    </row>
    <row r="113" spans="2:21">
      <c r="B113" t="str">
        <f t="shared" si="15"/>
        <v/>
      </c>
      <c r="C113" s="155">
        <f>IF(D94="","-",+C112+1)</f>
        <v>2026</v>
      </c>
      <c r="D113" s="156">
        <f>IF(F112+SUM(E$100:E112)=D$93,F112,D$93-SUM(E$100:E112))</f>
        <v>9441644.1119281072</v>
      </c>
      <c r="E113" s="402">
        <f t="shared" si="16"/>
        <v>368179.72222222225</v>
      </c>
      <c r="F113" s="161">
        <f t="shared" si="17"/>
        <v>9073464.3897058852</v>
      </c>
      <c r="G113" s="161">
        <f t="shared" si="18"/>
        <v>9257554.2508169971</v>
      </c>
      <c r="H113" s="403">
        <f t="shared" si="19"/>
        <v>1345429.8216060889</v>
      </c>
      <c r="I113" s="404">
        <f t="shared" si="20"/>
        <v>1345429.8216060889</v>
      </c>
      <c r="J113" s="160">
        <f t="shared" si="21"/>
        <v>0</v>
      </c>
      <c r="K113" s="160"/>
      <c r="L113" s="316"/>
      <c r="M113" s="160">
        <f t="shared" si="12"/>
        <v>0</v>
      </c>
      <c r="N113" s="316"/>
      <c r="O113" s="160">
        <f t="shared" si="13"/>
        <v>0</v>
      </c>
      <c r="P113" s="160">
        <f t="shared" si="14"/>
        <v>0</v>
      </c>
      <c r="Q113" s="1"/>
      <c r="R113" s="1"/>
      <c r="S113" s="1"/>
      <c r="T113" s="1"/>
      <c r="U113" s="1"/>
    </row>
    <row r="114" spans="2:21">
      <c r="B114" t="str">
        <f t="shared" si="15"/>
        <v/>
      </c>
      <c r="C114" s="155">
        <f>IF(D94="","-",+C113+1)</f>
        <v>2027</v>
      </c>
      <c r="D114" s="156">
        <f>IF(F113+SUM(E$100:E113)=D$93,F113,D$93-SUM(E$100:E113))</f>
        <v>9073464.3897058852</v>
      </c>
      <c r="E114" s="402">
        <f t="shared" si="16"/>
        <v>368179.72222222225</v>
      </c>
      <c r="F114" s="161">
        <f t="shared" si="17"/>
        <v>8705284.6674836632</v>
      </c>
      <c r="G114" s="161">
        <f t="shared" si="18"/>
        <v>8889374.5285947733</v>
      </c>
      <c r="H114" s="403">
        <f t="shared" si="19"/>
        <v>1306563.868419691</v>
      </c>
      <c r="I114" s="404">
        <f t="shared" si="20"/>
        <v>1306563.868419691</v>
      </c>
      <c r="J114" s="160">
        <f t="shared" si="21"/>
        <v>0</v>
      </c>
      <c r="K114" s="160"/>
      <c r="L114" s="316"/>
      <c r="M114" s="160">
        <f t="shared" si="12"/>
        <v>0</v>
      </c>
      <c r="N114" s="316"/>
      <c r="O114" s="160">
        <f t="shared" si="13"/>
        <v>0</v>
      </c>
      <c r="P114" s="160">
        <f t="shared" si="14"/>
        <v>0</v>
      </c>
      <c r="Q114" s="1"/>
      <c r="R114" s="1"/>
      <c r="S114" s="1"/>
      <c r="T114" s="1"/>
      <c r="U114" s="1"/>
    </row>
    <row r="115" spans="2:21">
      <c r="B115" t="str">
        <f t="shared" si="15"/>
        <v/>
      </c>
      <c r="C115" s="155">
        <f>IF(D94="","-",+C114+1)</f>
        <v>2028</v>
      </c>
      <c r="D115" s="156">
        <f>IF(F114+SUM(E$100:E114)=D$93,F114,D$93-SUM(E$100:E114))</f>
        <v>8705284.6674836632</v>
      </c>
      <c r="E115" s="402">
        <f t="shared" si="16"/>
        <v>368179.72222222225</v>
      </c>
      <c r="F115" s="161">
        <f t="shared" si="17"/>
        <v>8337104.9452614412</v>
      </c>
      <c r="G115" s="161">
        <f t="shared" si="18"/>
        <v>8521194.8063725531</v>
      </c>
      <c r="H115" s="403">
        <f t="shared" si="19"/>
        <v>1267697.9152332935</v>
      </c>
      <c r="I115" s="404">
        <f t="shared" si="20"/>
        <v>1267697.9152332935</v>
      </c>
      <c r="J115" s="160">
        <f t="shared" si="21"/>
        <v>0</v>
      </c>
      <c r="K115" s="160"/>
      <c r="L115" s="316"/>
      <c r="M115" s="160">
        <f t="shared" si="12"/>
        <v>0</v>
      </c>
      <c r="N115" s="316"/>
      <c r="O115" s="160">
        <f t="shared" si="13"/>
        <v>0</v>
      </c>
      <c r="P115" s="160">
        <f t="shared" si="14"/>
        <v>0</v>
      </c>
      <c r="Q115" s="1"/>
      <c r="R115" s="1"/>
      <c r="S115" s="1"/>
      <c r="T115" s="1"/>
      <c r="U115" s="1"/>
    </row>
    <row r="116" spans="2:21">
      <c r="B116" t="str">
        <f t="shared" si="15"/>
        <v/>
      </c>
      <c r="C116" s="155">
        <f>IF(D94="","-",+C115+1)</f>
        <v>2029</v>
      </c>
      <c r="D116" s="156">
        <f>IF(F115+SUM(E$100:E115)=D$93,F115,D$93-SUM(E$100:E115))</f>
        <v>8337104.9452614412</v>
      </c>
      <c r="E116" s="402">
        <f t="shared" si="16"/>
        <v>368179.72222222225</v>
      </c>
      <c r="F116" s="161">
        <f t="shared" si="17"/>
        <v>7968925.2230392192</v>
      </c>
      <c r="G116" s="161">
        <f t="shared" si="18"/>
        <v>8153015.0841503302</v>
      </c>
      <c r="H116" s="403">
        <f t="shared" si="19"/>
        <v>1228831.9620468956</v>
      </c>
      <c r="I116" s="404">
        <f t="shared" si="20"/>
        <v>1228831.9620468956</v>
      </c>
      <c r="J116" s="160">
        <f t="shared" si="21"/>
        <v>0</v>
      </c>
      <c r="K116" s="160"/>
      <c r="L116" s="316"/>
      <c r="M116" s="160">
        <f t="shared" si="12"/>
        <v>0</v>
      </c>
      <c r="N116" s="316"/>
      <c r="O116" s="160">
        <f t="shared" si="13"/>
        <v>0</v>
      </c>
      <c r="P116" s="160">
        <f t="shared" si="14"/>
        <v>0</v>
      </c>
      <c r="Q116" s="1"/>
      <c r="R116" s="1"/>
      <c r="S116" s="1"/>
      <c r="T116" s="1"/>
      <c r="U116" s="1"/>
    </row>
    <row r="117" spans="2:21">
      <c r="B117" t="str">
        <f t="shared" si="15"/>
        <v/>
      </c>
      <c r="C117" s="155">
        <f>IF(D94="","-",+C116+1)</f>
        <v>2030</v>
      </c>
      <c r="D117" s="156">
        <f>IF(F116+SUM(E$100:E116)=D$93,F116,D$93-SUM(E$100:E116))</f>
        <v>7968925.2230392192</v>
      </c>
      <c r="E117" s="402">
        <f t="shared" si="16"/>
        <v>368179.72222222225</v>
      </c>
      <c r="F117" s="161">
        <f t="shared" si="17"/>
        <v>7600745.5008169971</v>
      </c>
      <c r="G117" s="161">
        <f t="shared" si="18"/>
        <v>7784835.3619281081</v>
      </c>
      <c r="H117" s="403">
        <f t="shared" si="19"/>
        <v>1189966.0088604977</v>
      </c>
      <c r="I117" s="404">
        <f t="shared" si="20"/>
        <v>1189966.0088604977</v>
      </c>
      <c r="J117" s="160">
        <f t="shared" si="21"/>
        <v>0</v>
      </c>
      <c r="K117" s="160"/>
      <c r="L117" s="316"/>
      <c r="M117" s="160">
        <f t="shared" si="12"/>
        <v>0</v>
      </c>
      <c r="N117" s="316"/>
      <c r="O117" s="160">
        <f t="shared" si="13"/>
        <v>0</v>
      </c>
      <c r="P117" s="160">
        <f t="shared" si="14"/>
        <v>0</v>
      </c>
      <c r="Q117" s="1"/>
      <c r="R117" s="1"/>
      <c r="S117" s="1"/>
      <c r="T117" s="1"/>
      <c r="U117" s="1"/>
    </row>
    <row r="118" spans="2:21">
      <c r="B118" t="str">
        <f t="shared" si="15"/>
        <v/>
      </c>
      <c r="C118" s="155">
        <f>IF(D94="","-",+C117+1)</f>
        <v>2031</v>
      </c>
      <c r="D118" s="156">
        <f>IF(F117+SUM(E$100:E117)=D$93,F117,D$93-SUM(E$100:E117))</f>
        <v>7600745.5008169971</v>
      </c>
      <c r="E118" s="402">
        <f t="shared" si="16"/>
        <v>368179.72222222225</v>
      </c>
      <c r="F118" s="161">
        <f t="shared" si="17"/>
        <v>7232565.7785947751</v>
      </c>
      <c r="G118" s="161">
        <f t="shared" si="18"/>
        <v>7416655.6397058861</v>
      </c>
      <c r="H118" s="403">
        <f t="shared" si="19"/>
        <v>1151100.0556741003</v>
      </c>
      <c r="I118" s="404">
        <f t="shared" si="20"/>
        <v>1151100.0556741003</v>
      </c>
      <c r="J118" s="160">
        <f t="shared" si="21"/>
        <v>0</v>
      </c>
      <c r="K118" s="160"/>
      <c r="L118" s="316"/>
      <c r="M118" s="160">
        <f t="shared" si="12"/>
        <v>0</v>
      </c>
      <c r="N118" s="316"/>
      <c r="O118" s="160">
        <f t="shared" si="13"/>
        <v>0</v>
      </c>
      <c r="P118" s="160">
        <f t="shared" si="14"/>
        <v>0</v>
      </c>
      <c r="Q118" s="1"/>
      <c r="R118" s="1"/>
      <c r="S118" s="1"/>
      <c r="T118" s="1"/>
      <c r="U118" s="1"/>
    </row>
    <row r="119" spans="2:21">
      <c r="B119" t="str">
        <f t="shared" si="15"/>
        <v/>
      </c>
      <c r="C119" s="155">
        <f>IF(D94="","-",+C118+1)</f>
        <v>2032</v>
      </c>
      <c r="D119" s="156">
        <f>IF(F118+SUM(E$100:E118)=D$93,F118,D$93-SUM(E$100:E118))</f>
        <v>7232565.7785947751</v>
      </c>
      <c r="E119" s="402">
        <f t="shared" si="16"/>
        <v>368179.72222222225</v>
      </c>
      <c r="F119" s="161">
        <f t="shared" si="17"/>
        <v>6864386.0563725531</v>
      </c>
      <c r="G119" s="161">
        <f t="shared" si="18"/>
        <v>7048475.9174836641</v>
      </c>
      <c r="H119" s="403">
        <f t="shared" si="19"/>
        <v>1112234.1024877024</v>
      </c>
      <c r="I119" s="404">
        <f t="shared" si="20"/>
        <v>1112234.1024877024</v>
      </c>
      <c r="J119" s="160">
        <f t="shared" si="21"/>
        <v>0</v>
      </c>
      <c r="K119" s="160"/>
      <c r="L119" s="316"/>
      <c r="M119" s="160">
        <f t="shared" si="12"/>
        <v>0</v>
      </c>
      <c r="N119" s="316"/>
      <c r="O119" s="160">
        <f t="shared" si="13"/>
        <v>0</v>
      </c>
      <c r="P119" s="160">
        <f t="shared" si="14"/>
        <v>0</v>
      </c>
      <c r="Q119" s="1"/>
      <c r="R119" s="1"/>
      <c r="S119" s="1"/>
      <c r="T119" s="1"/>
      <c r="U119" s="1"/>
    </row>
    <row r="120" spans="2:21">
      <c r="B120" t="str">
        <f t="shared" si="15"/>
        <v/>
      </c>
      <c r="C120" s="155">
        <f>IF(D94="","-",+C119+1)</f>
        <v>2033</v>
      </c>
      <c r="D120" s="156">
        <f>IF(F119+SUM(E$100:E119)=D$93,F119,D$93-SUM(E$100:E119))</f>
        <v>6864386.0563725531</v>
      </c>
      <c r="E120" s="402">
        <f t="shared" si="16"/>
        <v>368179.72222222225</v>
      </c>
      <c r="F120" s="161">
        <f t="shared" si="17"/>
        <v>6496206.3341503311</v>
      </c>
      <c r="G120" s="161">
        <f t="shared" si="18"/>
        <v>6680296.1952614421</v>
      </c>
      <c r="H120" s="403">
        <f t="shared" si="19"/>
        <v>1073368.1493013045</v>
      </c>
      <c r="I120" s="404">
        <f t="shared" si="20"/>
        <v>1073368.1493013045</v>
      </c>
      <c r="J120" s="160">
        <f t="shared" si="21"/>
        <v>0</v>
      </c>
      <c r="K120" s="160"/>
      <c r="L120" s="316"/>
      <c r="M120" s="160">
        <f t="shared" si="12"/>
        <v>0</v>
      </c>
      <c r="N120" s="316"/>
      <c r="O120" s="160">
        <f t="shared" si="13"/>
        <v>0</v>
      </c>
      <c r="P120" s="160">
        <f t="shared" si="14"/>
        <v>0</v>
      </c>
      <c r="Q120" s="1"/>
      <c r="R120" s="1"/>
      <c r="S120" s="1"/>
      <c r="T120" s="1"/>
      <c r="U120" s="1"/>
    </row>
    <row r="121" spans="2:21">
      <c r="B121" t="str">
        <f t="shared" si="15"/>
        <v/>
      </c>
      <c r="C121" s="155">
        <f>IF(D94="","-",+C120+1)</f>
        <v>2034</v>
      </c>
      <c r="D121" s="156">
        <f>IF(F120+SUM(E$100:E120)=D$93,F120,D$93-SUM(E$100:E120))</f>
        <v>6496206.3341503311</v>
      </c>
      <c r="E121" s="402">
        <f t="shared" si="16"/>
        <v>368179.72222222225</v>
      </c>
      <c r="F121" s="161">
        <f t="shared" si="17"/>
        <v>6128026.6119281091</v>
      </c>
      <c r="G121" s="161">
        <f t="shared" si="18"/>
        <v>6312116.4730392201</v>
      </c>
      <c r="H121" s="403">
        <f t="shared" si="19"/>
        <v>1034502.1961149069</v>
      </c>
      <c r="I121" s="404">
        <f t="shared" si="20"/>
        <v>1034502.1961149069</v>
      </c>
      <c r="J121" s="160">
        <f t="shared" si="21"/>
        <v>0</v>
      </c>
      <c r="K121" s="160"/>
      <c r="L121" s="316"/>
      <c r="M121" s="160">
        <f t="shared" si="12"/>
        <v>0</v>
      </c>
      <c r="N121" s="316"/>
      <c r="O121" s="160">
        <f t="shared" si="13"/>
        <v>0</v>
      </c>
      <c r="P121" s="160">
        <f t="shared" si="14"/>
        <v>0</v>
      </c>
      <c r="Q121" s="1"/>
      <c r="R121" s="1"/>
      <c r="S121" s="1"/>
      <c r="T121" s="1"/>
      <c r="U121" s="1"/>
    </row>
    <row r="122" spans="2:21">
      <c r="B122" t="str">
        <f t="shared" si="15"/>
        <v/>
      </c>
      <c r="C122" s="155">
        <f>IF(D94="","-",+C121+1)</f>
        <v>2035</v>
      </c>
      <c r="D122" s="156">
        <f>IF(F121+SUM(E$100:E121)=D$93,F121,D$93-SUM(E$100:E121))</f>
        <v>6128026.6119281091</v>
      </c>
      <c r="E122" s="402">
        <f t="shared" si="16"/>
        <v>368179.72222222225</v>
      </c>
      <c r="F122" s="161">
        <f t="shared" si="17"/>
        <v>5759846.8897058871</v>
      </c>
      <c r="G122" s="161">
        <f t="shared" si="18"/>
        <v>5943936.7508169981</v>
      </c>
      <c r="H122" s="403">
        <f t="shared" si="19"/>
        <v>995636.24292850913</v>
      </c>
      <c r="I122" s="404">
        <f t="shared" si="20"/>
        <v>995636.24292850913</v>
      </c>
      <c r="J122" s="160">
        <f t="shared" si="21"/>
        <v>0</v>
      </c>
      <c r="K122" s="160"/>
      <c r="L122" s="316"/>
      <c r="M122" s="160">
        <f t="shared" si="12"/>
        <v>0</v>
      </c>
      <c r="N122" s="316"/>
      <c r="O122" s="160">
        <f t="shared" si="13"/>
        <v>0</v>
      </c>
      <c r="P122" s="160">
        <f t="shared" si="14"/>
        <v>0</v>
      </c>
      <c r="Q122" s="1"/>
      <c r="R122" s="1"/>
      <c r="S122" s="1"/>
      <c r="T122" s="1"/>
      <c r="U122" s="1"/>
    </row>
    <row r="123" spans="2:21">
      <c r="B123" t="str">
        <f t="shared" si="15"/>
        <v/>
      </c>
      <c r="C123" s="155">
        <f>IF(D94="","-",+C122+1)</f>
        <v>2036</v>
      </c>
      <c r="D123" s="156">
        <f>IF(F122+SUM(E$100:E122)=D$93,F122,D$93-SUM(E$100:E122))</f>
        <v>5759846.8897058871</v>
      </c>
      <c r="E123" s="402">
        <f t="shared" si="16"/>
        <v>368179.72222222225</v>
      </c>
      <c r="F123" s="161">
        <f t="shared" si="17"/>
        <v>5391667.167483665</v>
      </c>
      <c r="G123" s="161">
        <f t="shared" si="18"/>
        <v>5575757.0285947761</v>
      </c>
      <c r="H123" s="403">
        <f t="shared" si="19"/>
        <v>956770.28974211134</v>
      </c>
      <c r="I123" s="404">
        <f t="shared" si="20"/>
        <v>956770.28974211134</v>
      </c>
      <c r="J123" s="160">
        <f t="shared" si="21"/>
        <v>0</v>
      </c>
      <c r="K123" s="160"/>
      <c r="L123" s="316"/>
      <c r="M123" s="160">
        <f t="shared" si="12"/>
        <v>0</v>
      </c>
      <c r="N123" s="316"/>
      <c r="O123" s="160">
        <f t="shared" si="13"/>
        <v>0</v>
      </c>
      <c r="P123" s="160">
        <f t="shared" si="14"/>
        <v>0</v>
      </c>
      <c r="Q123" s="1"/>
      <c r="R123" s="1"/>
      <c r="S123" s="1"/>
      <c r="T123" s="1"/>
      <c r="U123" s="1"/>
    </row>
    <row r="124" spans="2:21">
      <c r="B124" t="str">
        <f t="shared" si="15"/>
        <v/>
      </c>
      <c r="C124" s="155">
        <f>IF(D94="","-",+C123+1)</f>
        <v>2037</v>
      </c>
      <c r="D124" s="156">
        <f>IF(F123+SUM(E$100:E123)=D$93,F123,D$93-SUM(E$100:E123))</f>
        <v>5391667.167483665</v>
      </c>
      <c r="E124" s="402">
        <f t="shared" si="16"/>
        <v>368179.72222222225</v>
      </c>
      <c r="F124" s="161">
        <f t="shared" si="17"/>
        <v>5023487.445261443</v>
      </c>
      <c r="G124" s="161">
        <f t="shared" si="18"/>
        <v>5207577.306372554</v>
      </c>
      <c r="H124" s="403">
        <f t="shared" si="19"/>
        <v>917904.33655571367</v>
      </c>
      <c r="I124" s="404">
        <f t="shared" si="20"/>
        <v>917904.33655571367</v>
      </c>
      <c r="J124" s="160">
        <f t="shared" si="21"/>
        <v>0</v>
      </c>
      <c r="K124" s="160"/>
      <c r="L124" s="316"/>
      <c r="M124" s="160">
        <f t="shared" si="12"/>
        <v>0</v>
      </c>
      <c r="N124" s="316"/>
      <c r="O124" s="160">
        <f t="shared" si="13"/>
        <v>0</v>
      </c>
      <c r="P124" s="160">
        <f t="shared" si="14"/>
        <v>0</v>
      </c>
      <c r="Q124" s="1"/>
      <c r="R124" s="1"/>
      <c r="S124" s="1"/>
      <c r="T124" s="1"/>
      <c r="U124" s="1"/>
    </row>
    <row r="125" spans="2:21">
      <c r="B125" t="str">
        <f t="shared" si="15"/>
        <v/>
      </c>
      <c r="C125" s="155">
        <f>IF(D94="","-",+C124+1)</f>
        <v>2038</v>
      </c>
      <c r="D125" s="156">
        <f>IF(F124+SUM(E$100:E124)=D$93,F124,D$93-SUM(E$100:E124))</f>
        <v>5023487.445261443</v>
      </c>
      <c r="E125" s="402">
        <f t="shared" si="16"/>
        <v>368179.72222222225</v>
      </c>
      <c r="F125" s="161">
        <f t="shared" si="17"/>
        <v>4655307.723039221</v>
      </c>
      <c r="G125" s="161">
        <f t="shared" si="18"/>
        <v>4839397.584150332</v>
      </c>
      <c r="H125" s="403">
        <f t="shared" si="19"/>
        <v>879038.38336931588</v>
      </c>
      <c r="I125" s="404">
        <f t="shared" si="20"/>
        <v>879038.38336931588</v>
      </c>
      <c r="J125" s="160">
        <f t="shared" si="21"/>
        <v>0</v>
      </c>
      <c r="K125" s="160"/>
      <c r="L125" s="316"/>
      <c r="M125" s="160">
        <f t="shared" si="12"/>
        <v>0</v>
      </c>
      <c r="N125" s="316"/>
      <c r="O125" s="160">
        <f t="shared" si="13"/>
        <v>0</v>
      </c>
      <c r="P125" s="160">
        <f t="shared" si="14"/>
        <v>0</v>
      </c>
      <c r="Q125" s="1"/>
      <c r="R125" s="1"/>
      <c r="S125" s="1"/>
      <c r="T125" s="1"/>
      <c r="U125" s="1"/>
    </row>
    <row r="126" spans="2:21">
      <c r="B126" t="str">
        <f t="shared" si="15"/>
        <v/>
      </c>
      <c r="C126" s="155">
        <f>IF(D94="","-",+C125+1)</f>
        <v>2039</v>
      </c>
      <c r="D126" s="156">
        <f>IF(F125+SUM(E$100:E125)=D$93,F125,D$93-SUM(E$100:E125))</f>
        <v>4655307.723039221</v>
      </c>
      <c r="E126" s="402">
        <f t="shared" si="16"/>
        <v>368179.72222222225</v>
      </c>
      <c r="F126" s="161">
        <f t="shared" si="17"/>
        <v>4287128.000816999</v>
      </c>
      <c r="G126" s="161">
        <f t="shared" si="18"/>
        <v>4471217.86192811</v>
      </c>
      <c r="H126" s="403">
        <f t="shared" si="19"/>
        <v>840172.43018291821</v>
      </c>
      <c r="I126" s="404">
        <f t="shared" si="20"/>
        <v>840172.43018291821</v>
      </c>
      <c r="J126" s="160">
        <f t="shared" si="21"/>
        <v>0</v>
      </c>
      <c r="K126" s="160"/>
      <c r="L126" s="316"/>
      <c r="M126" s="160">
        <f t="shared" si="12"/>
        <v>0</v>
      </c>
      <c r="N126" s="316"/>
      <c r="O126" s="160">
        <f t="shared" si="13"/>
        <v>0</v>
      </c>
      <c r="P126" s="160">
        <f t="shared" si="14"/>
        <v>0</v>
      </c>
      <c r="Q126" s="1"/>
      <c r="R126" s="1"/>
      <c r="S126" s="1"/>
      <c r="T126" s="1"/>
      <c r="U126" s="1"/>
    </row>
    <row r="127" spans="2:21">
      <c r="B127" t="str">
        <f t="shared" si="15"/>
        <v/>
      </c>
      <c r="C127" s="155">
        <f>IF(D94="","-",+C126+1)</f>
        <v>2040</v>
      </c>
      <c r="D127" s="156">
        <f>IF(F126+SUM(E$100:E126)=D$93,F126,D$93-SUM(E$100:E126))</f>
        <v>4287128.000816999</v>
      </c>
      <c r="E127" s="402">
        <f t="shared" si="16"/>
        <v>368179.72222222225</v>
      </c>
      <c r="F127" s="161">
        <f t="shared" si="17"/>
        <v>3918948.278594777</v>
      </c>
      <c r="G127" s="161">
        <f t="shared" si="18"/>
        <v>4103038.139705888</v>
      </c>
      <c r="H127" s="403">
        <f t="shared" si="19"/>
        <v>801306.4769965203</v>
      </c>
      <c r="I127" s="404">
        <f t="shared" si="20"/>
        <v>801306.4769965203</v>
      </c>
      <c r="J127" s="160">
        <f t="shared" si="21"/>
        <v>0</v>
      </c>
      <c r="K127" s="160"/>
      <c r="L127" s="316"/>
      <c r="M127" s="160">
        <f t="shared" si="12"/>
        <v>0</v>
      </c>
      <c r="N127" s="316"/>
      <c r="O127" s="160">
        <f t="shared" si="13"/>
        <v>0</v>
      </c>
      <c r="P127" s="160">
        <f t="shared" si="14"/>
        <v>0</v>
      </c>
      <c r="Q127" s="1"/>
      <c r="R127" s="1"/>
      <c r="S127" s="1"/>
      <c r="T127" s="1"/>
      <c r="U127" s="1"/>
    </row>
    <row r="128" spans="2:21">
      <c r="B128" t="str">
        <f t="shared" si="15"/>
        <v/>
      </c>
      <c r="C128" s="155">
        <f>IF(D94="","-",+C127+1)</f>
        <v>2041</v>
      </c>
      <c r="D128" s="156">
        <f>IF(F127+SUM(E$100:E127)=D$93,F127,D$93-SUM(E$100:E127))</f>
        <v>3918948.278594777</v>
      </c>
      <c r="E128" s="402">
        <f t="shared" si="16"/>
        <v>368179.72222222225</v>
      </c>
      <c r="F128" s="161">
        <f t="shared" si="17"/>
        <v>3550768.556372555</v>
      </c>
      <c r="G128" s="161">
        <f t="shared" si="18"/>
        <v>3734858.417483666</v>
      </c>
      <c r="H128" s="403">
        <f t="shared" si="19"/>
        <v>762440.52381012263</v>
      </c>
      <c r="I128" s="404">
        <f t="shared" si="20"/>
        <v>762440.52381012263</v>
      </c>
      <c r="J128" s="160">
        <f t="shared" si="21"/>
        <v>0</v>
      </c>
      <c r="K128" s="160"/>
      <c r="L128" s="316"/>
      <c r="M128" s="160">
        <f t="shared" si="12"/>
        <v>0</v>
      </c>
      <c r="N128" s="316"/>
      <c r="O128" s="160">
        <f t="shared" si="13"/>
        <v>0</v>
      </c>
      <c r="P128" s="160">
        <f t="shared" si="14"/>
        <v>0</v>
      </c>
      <c r="Q128" s="1"/>
      <c r="R128" s="1"/>
      <c r="S128" s="1"/>
      <c r="T128" s="1"/>
      <c r="U128" s="1"/>
    </row>
    <row r="129" spans="2:21">
      <c r="B129" t="str">
        <f t="shared" si="15"/>
        <v/>
      </c>
      <c r="C129" s="155">
        <f>IF(D94="","-",+C128+1)</f>
        <v>2042</v>
      </c>
      <c r="D129" s="156">
        <f>IF(F128+SUM(E$100:E128)=D$93,F128,D$93-SUM(E$100:E128))</f>
        <v>3550768.556372555</v>
      </c>
      <c r="E129" s="402">
        <f t="shared" si="16"/>
        <v>368179.72222222225</v>
      </c>
      <c r="F129" s="161">
        <f t="shared" si="17"/>
        <v>3182588.834150333</v>
      </c>
      <c r="G129" s="161">
        <f t="shared" si="18"/>
        <v>3366678.695261444</v>
      </c>
      <c r="H129" s="403">
        <f t="shared" si="19"/>
        <v>723574.57062372495</v>
      </c>
      <c r="I129" s="404">
        <f t="shared" si="20"/>
        <v>723574.57062372495</v>
      </c>
      <c r="J129" s="160">
        <f t="shared" si="21"/>
        <v>0</v>
      </c>
      <c r="K129" s="160"/>
      <c r="L129" s="316"/>
      <c r="M129" s="160">
        <f t="shared" si="12"/>
        <v>0</v>
      </c>
      <c r="N129" s="316"/>
      <c r="O129" s="160">
        <f t="shared" si="13"/>
        <v>0</v>
      </c>
      <c r="P129" s="160">
        <f t="shared" si="14"/>
        <v>0</v>
      </c>
      <c r="Q129" s="1"/>
      <c r="R129" s="1"/>
      <c r="S129" s="1"/>
      <c r="T129" s="1"/>
      <c r="U129" s="1"/>
    </row>
    <row r="130" spans="2:21">
      <c r="B130" t="str">
        <f t="shared" si="15"/>
        <v/>
      </c>
      <c r="C130" s="155">
        <f>IF(D94="","-",+C129+1)</f>
        <v>2043</v>
      </c>
      <c r="D130" s="156">
        <f>IF(F129+SUM(E$100:E129)=D$93,F129,D$93-SUM(E$100:E129))</f>
        <v>3182588.834150333</v>
      </c>
      <c r="E130" s="402">
        <f t="shared" si="16"/>
        <v>368179.72222222225</v>
      </c>
      <c r="F130" s="161">
        <f t="shared" si="17"/>
        <v>2814409.1119281109</v>
      </c>
      <c r="G130" s="161">
        <f t="shared" si="18"/>
        <v>2998498.9730392219</v>
      </c>
      <c r="H130" s="403">
        <f t="shared" si="19"/>
        <v>684708.61743732705</v>
      </c>
      <c r="I130" s="404">
        <f t="shared" si="20"/>
        <v>684708.61743732705</v>
      </c>
      <c r="J130" s="160">
        <f t="shared" si="21"/>
        <v>0</v>
      </c>
      <c r="K130" s="160"/>
      <c r="L130" s="316"/>
      <c r="M130" s="160">
        <f t="shared" si="12"/>
        <v>0</v>
      </c>
      <c r="N130" s="316"/>
      <c r="O130" s="160">
        <f t="shared" si="13"/>
        <v>0</v>
      </c>
      <c r="P130" s="160">
        <f t="shared" si="14"/>
        <v>0</v>
      </c>
      <c r="Q130" s="1"/>
      <c r="R130" s="1"/>
      <c r="S130" s="1"/>
      <c r="T130" s="1"/>
      <c r="U130" s="1"/>
    </row>
    <row r="131" spans="2:21">
      <c r="B131" t="str">
        <f t="shared" si="15"/>
        <v/>
      </c>
      <c r="C131" s="155">
        <f>IF(D94="","-",+C130+1)</f>
        <v>2044</v>
      </c>
      <c r="D131" s="156">
        <f>IF(F130+SUM(E$100:E130)=D$93,F130,D$93-SUM(E$100:E130))</f>
        <v>2814409.1119281109</v>
      </c>
      <c r="E131" s="402">
        <f t="shared" si="16"/>
        <v>368179.72222222225</v>
      </c>
      <c r="F131" s="161">
        <f t="shared" si="17"/>
        <v>2446229.3897058889</v>
      </c>
      <c r="G131" s="161">
        <f t="shared" si="18"/>
        <v>2630319.2508169999</v>
      </c>
      <c r="H131" s="403">
        <f t="shared" si="19"/>
        <v>645842.66425092937</v>
      </c>
      <c r="I131" s="404">
        <f t="shared" si="20"/>
        <v>645842.66425092937</v>
      </c>
      <c r="J131" s="160">
        <f t="shared" si="21"/>
        <v>0</v>
      </c>
      <c r="K131" s="160"/>
      <c r="L131" s="316"/>
      <c r="M131" s="160">
        <f t="shared" si="12"/>
        <v>0</v>
      </c>
      <c r="N131" s="316"/>
      <c r="O131" s="160">
        <f t="shared" si="13"/>
        <v>0</v>
      </c>
      <c r="P131" s="160">
        <f t="shared" si="14"/>
        <v>0</v>
      </c>
      <c r="Q131" s="1"/>
      <c r="R131" s="1"/>
      <c r="S131" s="1"/>
      <c r="T131" s="1"/>
      <c r="U131" s="1"/>
    </row>
    <row r="132" spans="2:21">
      <c r="B132" t="str">
        <f t="shared" si="15"/>
        <v/>
      </c>
      <c r="C132" s="155">
        <f>IF(D94="","-",+C131+1)</f>
        <v>2045</v>
      </c>
      <c r="D132" s="156">
        <f>IF(F131+SUM(E$100:E131)=D$93,F131,D$93-SUM(E$100:E131))</f>
        <v>2446229.3897058889</v>
      </c>
      <c r="E132" s="402">
        <f t="shared" si="16"/>
        <v>368179.72222222225</v>
      </c>
      <c r="F132" s="161">
        <f t="shared" si="17"/>
        <v>2078049.6674836667</v>
      </c>
      <c r="G132" s="161">
        <f t="shared" si="18"/>
        <v>2262139.5285947779</v>
      </c>
      <c r="H132" s="403">
        <f t="shared" si="19"/>
        <v>606976.71106453158</v>
      </c>
      <c r="I132" s="404">
        <f t="shared" si="20"/>
        <v>606976.71106453158</v>
      </c>
      <c r="J132" s="160">
        <f t="shared" si="21"/>
        <v>0</v>
      </c>
      <c r="K132" s="160"/>
      <c r="L132" s="316"/>
      <c r="M132" s="160">
        <f t="shared" ref="M132:M155" si="22">IF(L542&lt;&gt;0,+H542-L542,0)</f>
        <v>0</v>
      </c>
      <c r="N132" s="316"/>
      <c r="O132" s="160">
        <f t="shared" ref="O132:O155" si="23">IF(N542&lt;&gt;0,+I542-N542,0)</f>
        <v>0</v>
      </c>
      <c r="P132" s="160">
        <f t="shared" ref="P132:P155" si="24">+O542-M542</f>
        <v>0</v>
      </c>
      <c r="Q132" s="1"/>
      <c r="R132" s="1"/>
      <c r="S132" s="1"/>
      <c r="T132" s="1"/>
      <c r="U132" s="1"/>
    </row>
    <row r="133" spans="2:21">
      <c r="B133" t="str">
        <f t="shared" si="15"/>
        <v/>
      </c>
      <c r="C133" s="155">
        <f>IF(D94="","-",+C132+1)</f>
        <v>2046</v>
      </c>
      <c r="D133" s="156">
        <f>IF(F132+SUM(E$100:E132)=D$93,F132,D$93-SUM(E$100:E132))</f>
        <v>2078049.6674836667</v>
      </c>
      <c r="E133" s="402">
        <f t="shared" si="16"/>
        <v>368179.72222222225</v>
      </c>
      <c r="F133" s="161">
        <f t="shared" si="17"/>
        <v>1709869.9452614444</v>
      </c>
      <c r="G133" s="161">
        <f t="shared" si="18"/>
        <v>1893959.8063725554</v>
      </c>
      <c r="H133" s="403">
        <f t="shared" si="19"/>
        <v>568110.75787813379</v>
      </c>
      <c r="I133" s="404">
        <f t="shared" si="20"/>
        <v>568110.75787813379</v>
      </c>
      <c r="J133" s="160">
        <f t="shared" si="21"/>
        <v>0</v>
      </c>
      <c r="K133" s="160"/>
      <c r="L133" s="316"/>
      <c r="M133" s="160">
        <f t="shared" si="22"/>
        <v>0</v>
      </c>
      <c r="N133" s="316"/>
      <c r="O133" s="160">
        <f t="shared" si="23"/>
        <v>0</v>
      </c>
      <c r="P133" s="160">
        <f t="shared" si="24"/>
        <v>0</v>
      </c>
      <c r="Q133" s="1"/>
      <c r="R133" s="1"/>
      <c r="S133" s="1"/>
      <c r="T133" s="1"/>
      <c r="U133" s="1"/>
    </row>
    <row r="134" spans="2:21">
      <c r="B134" t="str">
        <f t="shared" si="15"/>
        <v/>
      </c>
      <c r="C134" s="155">
        <f>IF(D94="","-",+C133+1)</f>
        <v>2047</v>
      </c>
      <c r="D134" s="156">
        <f>IF(F133+SUM(E$100:E133)=D$93,F133,D$93-SUM(E$100:E133))</f>
        <v>1709869.9452614444</v>
      </c>
      <c r="E134" s="402">
        <f t="shared" si="16"/>
        <v>368179.72222222225</v>
      </c>
      <c r="F134" s="161">
        <f t="shared" si="17"/>
        <v>1341690.2230392222</v>
      </c>
      <c r="G134" s="161">
        <f t="shared" si="18"/>
        <v>1525780.0841503334</v>
      </c>
      <c r="H134" s="403">
        <f t="shared" si="19"/>
        <v>529244.80469173612</v>
      </c>
      <c r="I134" s="404">
        <f t="shared" si="20"/>
        <v>529244.80469173612</v>
      </c>
      <c r="J134" s="160">
        <f t="shared" si="21"/>
        <v>0</v>
      </c>
      <c r="K134" s="160"/>
      <c r="L134" s="316"/>
      <c r="M134" s="160">
        <f t="shared" si="22"/>
        <v>0</v>
      </c>
      <c r="N134" s="316"/>
      <c r="O134" s="160">
        <f t="shared" si="23"/>
        <v>0</v>
      </c>
      <c r="P134" s="160">
        <f t="shared" si="24"/>
        <v>0</v>
      </c>
      <c r="Q134" s="1"/>
      <c r="R134" s="1"/>
      <c r="S134" s="1"/>
      <c r="T134" s="1"/>
      <c r="U134" s="1"/>
    </row>
    <row r="135" spans="2:21">
      <c r="B135" t="str">
        <f t="shared" si="15"/>
        <v/>
      </c>
      <c r="C135" s="155">
        <f>IF(D94="","-",+C134+1)</f>
        <v>2048</v>
      </c>
      <c r="D135" s="156">
        <f>IF(F134+SUM(E$100:E134)=D$93,F134,D$93-SUM(E$100:E134))</f>
        <v>1341690.2230392222</v>
      </c>
      <c r="E135" s="402">
        <f t="shared" si="16"/>
        <v>368179.72222222225</v>
      </c>
      <c r="F135" s="161">
        <f t="shared" si="17"/>
        <v>973510.50081699993</v>
      </c>
      <c r="G135" s="161">
        <f t="shared" si="18"/>
        <v>1157600.3619281109</v>
      </c>
      <c r="H135" s="403">
        <f t="shared" si="19"/>
        <v>490378.85150533827</v>
      </c>
      <c r="I135" s="404">
        <f t="shared" si="20"/>
        <v>490378.85150533827</v>
      </c>
      <c r="J135" s="160">
        <f t="shared" si="21"/>
        <v>0</v>
      </c>
      <c r="K135" s="160"/>
      <c r="L135" s="316"/>
      <c r="M135" s="160">
        <f t="shared" si="22"/>
        <v>0</v>
      </c>
      <c r="N135" s="316"/>
      <c r="O135" s="160">
        <f t="shared" si="23"/>
        <v>0</v>
      </c>
      <c r="P135" s="160">
        <f t="shared" si="24"/>
        <v>0</v>
      </c>
      <c r="Q135" s="1"/>
      <c r="R135" s="1"/>
      <c r="S135" s="1"/>
      <c r="T135" s="1"/>
      <c r="U135" s="1"/>
    </row>
    <row r="136" spans="2:21">
      <c r="B136" t="str">
        <f t="shared" si="15"/>
        <v/>
      </c>
      <c r="C136" s="155">
        <f>IF(D94="","-",+C135+1)</f>
        <v>2049</v>
      </c>
      <c r="D136" s="156">
        <f>IF(F135+SUM(E$100:E135)=D$93,F135,D$93-SUM(E$100:E135))</f>
        <v>973510.50081699993</v>
      </c>
      <c r="E136" s="402">
        <f t="shared" si="16"/>
        <v>368179.72222222225</v>
      </c>
      <c r="F136" s="161">
        <f t="shared" si="17"/>
        <v>605330.77859477769</v>
      </c>
      <c r="G136" s="161">
        <f t="shared" si="18"/>
        <v>789420.63970588881</v>
      </c>
      <c r="H136" s="403">
        <f t="shared" si="19"/>
        <v>451512.89831894054</v>
      </c>
      <c r="I136" s="404">
        <f t="shared" si="20"/>
        <v>451512.89831894054</v>
      </c>
      <c r="J136" s="160">
        <f t="shared" si="21"/>
        <v>0</v>
      </c>
      <c r="K136" s="160"/>
      <c r="L136" s="316"/>
      <c r="M136" s="160">
        <f t="shared" si="22"/>
        <v>0</v>
      </c>
      <c r="N136" s="316"/>
      <c r="O136" s="160">
        <f t="shared" si="23"/>
        <v>0</v>
      </c>
      <c r="P136" s="160">
        <f t="shared" si="24"/>
        <v>0</v>
      </c>
      <c r="Q136" s="1"/>
      <c r="R136" s="1"/>
      <c r="S136" s="1"/>
      <c r="T136" s="1"/>
      <c r="U136" s="1"/>
    </row>
    <row r="137" spans="2:21">
      <c r="B137" t="str">
        <f t="shared" si="15"/>
        <v/>
      </c>
      <c r="C137" s="155">
        <f>IF(D94="","-",+C136+1)</f>
        <v>2050</v>
      </c>
      <c r="D137" s="156">
        <f>IF(F136+SUM(E$100:E136)=D$93,F136,D$93-SUM(E$100:E136))</f>
        <v>605330.77859477769</v>
      </c>
      <c r="E137" s="402">
        <f t="shared" si="16"/>
        <v>368179.72222222225</v>
      </c>
      <c r="F137" s="161">
        <f t="shared" si="17"/>
        <v>237151.05637255544</v>
      </c>
      <c r="G137" s="161">
        <f t="shared" si="18"/>
        <v>421240.91748366656</v>
      </c>
      <c r="H137" s="403">
        <f t="shared" si="19"/>
        <v>412646.94513254275</v>
      </c>
      <c r="I137" s="404">
        <f t="shared" si="20"/>
        <v>412646.94513254275</v>
      </c>
      <c r="J137" s="160">
        <f t="shared" si="21"/>
        <v>0</v>
      </c>
      <c r="K137" s="160"/>
      <c r="L137" s="316"/>
      <c r="M137" s="160">
        <f t="shared" si="22"/>
        <v>0</v>
      </c>
      <c r="N137" s="316"/>
      <c r="O137" s="160">
        <f t="shared" si="23"/>
        <v>0</v>
      </c>
      <c r="P137" s="160">
        <f t="shared" si="24"/>
        <v>0</v>
      </c>
      <c r="Q137" s="1"/>
      <c r="R137" s="1"/>
      <c r="S137" s="1"/>
      <c r="T137" s="1"/>
      <c r="U137" s="1"/>
    </row>
    <row r="138" spans="2:21">
      <c r="B138" t="str">
        <f t="shared" si="15"/>
        <v/>
      </c>
      <c r="C138" s="155">
        <f>IF(D94="","-",+C137+1)</f>
        <v>2051</v>
      </c>
      <c r="D138" s="156">
        <f>IF(F137+SUM(E$100:E137)=D$93,F137,D$93-SUM(E$100:E137))</f>
        <v>237151.05637255544</v>
      </c>
      <c r="E138" s="402">
        <f t="shared" si="16"/>
        <v>237151.05637255544</v>
      </c>
      <c r="F138" s="161">
        <f t="shared" si="17"/>
        <v>0</v>
      </c>
      <c r="G138" s="161">
        <f t="shared" si="18"/>
        <v>118575.52818627772</v>
      </c>
      <c r="H138" s="403">
        <f t="shared" si="19"/>
        <v>249668.17953111624</v>
      </c>
      <c r="I138" s="404">
        <f t="shared" si="20"/>
        <v>249668.17953111624</v>
      </c>
      <c r="J138" s="160">
        <f t="shared" si="21"/>
        <v>0</v>
      </c>
      <c r="K138" s="160"/>
      <c r="L138" s="316"/>
      <c r="M138" s="160">
        <f t="shared" si="22"/>
        <v>0</v>
      </c>
      <c r="N138" s="316"/>
      <c r="O138" s="160">
        <f t="shared" si="23"/>
        <v>0</v>
      </c>
      <c r="P138" s="160">
        <f t="shared" si="24"/>
        <v>0</v>
      </c>
      <c r="Q138" s="1"/>
      <c r="R138" s="1"/>
      <c r="S138" s="1"/>
      <c r="T138" s="1"/>
      <c r="U138" s="1"/>
    </row>
    <row r="139" spans="2:21">
      <c r="B139" t="str">
        <f t="shared" si="15"/>
        <v/>
      </c>
      <c r="C139" s="155">
        <f>IF(D94="","-",+C138+1)</f>
        <v>2052</v>
      </c>
      <c r="D139" s="156">
        <f>IF(F138+SUM(E$100:E138)=D$93,F138,D$93-SUM(E$100:E138))</f>
        <v>0</v>
      </c>
      <c r="E139" s="402">
        <f t="shared" si="16"/>
        <v>0</v>
      </c>
      <c r="F139" s="161">
        <f t="shared" si="17"/>
        <v>0</v>
      </c>
      <c r="G139" s="161">
        <f t="shared" si="18"/>
        <v>0</v>
      </c>
      <c r="H139" s="403">
        <f t="shared" si="19"/>
        <v>0</v>
      </c>
      <c r="I139" s="404">
        <f t="shared" si="20"/>
        <v>0</v>
      </c>
      <c r="J139" s="160">
        <f t="shared" si="21"/>
        <v>0</v>
      </c>
      <c r="K139" s="160"/>
      <c r="L139" s="316"/>
      <c r="M139" s="160">
        <f t="shared" si="22"/>
        <v>0</v>
      </c>
      <c r="N139" s="316"/>
      <c r="O139" s="160">
        <f t="shared" si="23"/>
        <v>0</v>
      </c>
      <c r="P139" s="160">
        <f t="shared" si="24"/>
        <v>0</v>
      </c>
      <c r="Q139" s="1"/>
      <c r="R139" s="1"/>
      <c r="S139" s="1"/>
      <c r="T139" s="1"/>
      <c r="U139" s="1"/>
    </row>
    <row r="140" spans="2:21">
      <c r="B140" t="str">
        <f t="shared" si="15"/>
        <v/>
      </c>
      <c r="C140" s="155">
        <f>IF(D94="","-",+C139+1)</f>
        <v>2053</v>
      </c>
      <c r="D140" s="156">
        <f>IF(F139+SUM(E$100:E139)=D$93,F139,D$93-SUM(E$100:E139))</f>
        <v>0</v>
      </c>
      <c r="E140" s="402">
        <f t="shared" si="16"/>
        <v>0</v>
      </c>
      <c r="F140" s="161">
        <f t="shared" si="17"/>
        <v>0</v>
      </c>
      <c r="G140" s="161">
        <f t="shared" si="18"/>
        <v>0</v>
      </c>
      <c r="H140" s="403">
        <f t="shared" si="19"/>
        <v>0</v>
      </c>
      <c r="I140" s="404">
        <f t="shared" si="20"/>
        <v>0</v>
      </c>
      <c r="J140" s="160">
        <f t="shared" si="21"/>
        <v>0</v>
      </c>
      <c r="K140" s="160"/>
      <c r="L140" s="316"/>
      <c r="M140" s="160">
        <f t="shared" si="22"/>
        <v>0</v>
      </c>
      <c r="N140" s="316"/>
      <c r="O140" s="160">
        <f t="shared" si="23"/>
        <v>0</v>
      </c>
      <c r="P140" s="160">
        <f t="shared" si="24"/>
        <v>0</v>
      </c>
      <c r="Q140" s="1"/>
      <c r="R140" s="1"/>
      <c r="S140" s="1"/>
      <c r="T140" s="1"/>
      <c r="U140" s="1"/>
    </row>
    <row r="141" spans="2:21">
      <c r="B141" t="str">
        <f t="shared" si="15"/>
        <v/>
      </c>
      <c r="C141" s="155">
        <f>IF(D94="","-",+C140+1)</f>
        <v>2054</v>
      </c>
      <c r="D141" s="156">
        <f>IF(F140+SUM(E$100:E140)=D$93,F140,D$93-SUM(E$100:E140))</f>
        <v>0</v>
      </c>
      <c r="E141" s="402">
        <f t="shared" si="16"/>
        <v>0</v>
      </c>
      <c r="F141" s="161">
        <f t="shared" si="17"/>
        <v>0</v>
      </c>
      <c r="G141" s="161">
        <f t="shared" si="18"/>
        <v>0</v>
      </c>
      <c r="H141" s="403">
        <f t="shared" si="19"/>
        <v>0</v>
      </c>
      <c r="I141" s="404">
        <f t="shared" si="20"/>
        <v>0</v>
      </c>
      <c r="J141" s="160">
        <f t="shared" si="21"/>
        <v>0</v>
      </c>
      <c r="K141" s="160"/>
      <c r="L141" s="316"/>
      <c r="M141" s="160">
        <f t="shared" si="22"/>
        <v>0</v>
      </c>
      <c r="N141" s="316"/>
      <c r="O141" s="160">
        <f t="shared" si="23"/>
        <v>0</v>
      </c>
      <c r="P141" s="160">
        <f t="shared" si="24"/>
        <v>0</v>
      </c>
      <c r="Q141" s="1"/>
      <c r="R141" s="1"/>
      <c r="S141" s="1"/>
      <c r="T141" s="1"/>
      <c r="U141" s="1"/>
    </row>
    <row r="142" spans="2:21">
      <c r="B142" t="str">
        <f t="shared" si="15"/>
        <v/>
      </c>
      <c r="C142" s="155">
        <f>IF(D94="","-",+C141+1)</f>
        <v>2055</v>
      </c>
      <c r="D142" s="156">
        <f>IF(F141+SUM(E$100:E141)=D$93,F141,D$93-SUM(E$100:E141))</f>
        <v>0</v>
      </c>
      <c r="E142" s="402">
        <f t="shared" si="16"/>
        <v>0</v>
      </c>
      <c r="F142" s="161">
        <f t="shared" si="17"/>
        <v>0</v>
      </c>
      <c r="G142" s="161">
        <f t="shared" si="18"/>
        <v>0</v>
      </c>
      <c r="H142" s="403">
        <f t="shared" si="19"/>
        <v>0</v>
      </c>
      <c r="I142" s="404">
        <f t="shared" si="20"/>
        <v>0</v>
      </c>
      <c r="J142" s="160">
        <f t="shared" si="21"/>
        <v>0</v>
      </c>
      <c r="K142" s="160"/>
      <c r="L142" s="316"/>
      <c r="M142" s="160">
        <f t="shared" si="22"/>
        <v>0</v>
      </c>
      <c r="N142" s="316"/>
      <c r="O142" s="160">
        <f t="shared" si="23"/>
        <v>0</v>
      </c>
      <c r="P142" s="160">
        <f t="shared" si="24"/>
        <v>0</v>
      </c>
      <c r="Q142" s="1"/>
      <c r="R142" s="1"/>
      <c r="S142" s="1"/>
      <c r="T142" s="1"/>
      <c r="U142" s="1"/>
    </row>
    <row r="143" spans="2:21">
      <c r="B143" t="str">
        <f t="shared" si="15"/>
        <v/>
      </c>
      <c r="C143" s="155">
        <f>IF(D94="","-",+C142+1)</f>
        <v>2056</v>
      </c>
      <c r="D143" s="156">
        <f>IF(F142+SUM(E$100:E142)=D$93,F142,D$93-SUM(E$100:E142))</f>
        <v>0</v>
      </c>
      <c r="E143" s="402">
        <f t="shared" si="16"/>
        <v>0</v>
      </c>
      <c r="F143" s="161">
        <f t="shared" si="17"/>
        <v>0</v>
      </c>
      <c r="G143" s="161">
        <f t="shared" si="18"/>
        <v>0</v>
      </c>
      <c r="H143" s="403">
        <f t="shared" si="19"/>
        <v>0</v>
      </c>
      <c r="I143" s="404">
        <f t="shared" si="20"/>
        <v>0</v>
      </c>
      <c r="J143" s="160">
        <f t="shared" si="21"/>
        <v>0</v>
      </c>
      <c r="K143" s="160"/>
      <c r="L143" s="316"/>
      <c r="M143" s="160">
        <f t="shared" si="22"/>
        <v>0</v>
      </c>
      <c r="N143" s="316"/>
      <c r="O143" s="160">
        <f t="shared" si="23"/>
        <v>0</v>
      </c>
      <c r="P143" s="160">
        <f t="shared" si="24"/>
        <v>0</v>
      </c>
      <c r="Q143" s="1"/>
      <c r="R143" s="1"/>
      <c r="S143" s="1"/>
      <c r="T143" s="1"/>
      <c r="U143" s="1"/>
    </row>
    <row r="144" spans="2:21">
      <c r="B144" t="str">
        <f t="shared" si="15"/>
        <v/>
      </c>
      <c r="C144" s="155">
        <f>IF(D94="","-",+C143+1)</f>
        <v>2057</v>
      </c>
      <c r="D144" s="156">
        <f>IF(F143+SUM(E$100:E143)=D$93,F143,D$93-SUM(E$100:E143))</f>
        <v>0</v>
      </c>
      <c r="E144" s="402">
        <f t="shared" si="16"/>
        <v>0</v>
      </c>
      <c r="F144" s="161">
        <f t="shared" si="17"/>
        <v>0</v>
      </c>
      <c r="G144" s="161">
        <f t="shared" si="18"/>
        <v>0</v>
      </c>
      <c r="H144" s="403">
        <f t="shared" si="19"/>
        <v>0</v>
      </c>
      <c r="I144" s="404">
        <f t="shared" si="20"/>
        <v>0</v>
      </c>
      <c r="J144" s="160">
        <f t="shared" si="21"/>
        <v>0</v>
      </c>
      <c r="K144" s="160"/>
      <c r="L144" s="316"/>
      <c r="M144" s="160">
        <f t="shared" si="22"/>
        <v>0</v>
      </c>
      <c r="N144" s="316"/>
      <c r="O144" s="160">
        <f t="shared" si="23"/>
        <v>0</v>
      </c>
      <c r="P144" s="160">
        <f t="shared" si="24"/>
        <v>0</v>
      </c>
      <c r="Q144" s="1"/>
      <c r="R144" s="1"/>
      <c r="S144" s="1"/>
      <c r="T144" s="1"/>
      <c r="U144" s="1"/>
    </row>
    <row r="145" spans="2:21">
      <c r="B145" t="str">
        <f t="shared" si="15"/>
        <v/>
      </c>
      <c r="C145" s="155">
        <f>IF(D94="","-",+C144+1)</f>
        <v>2058</v>
      </c>
      <c r="D145" s="156">
        <f>IF(F144+SUM(E$100:E144)=D$93,F144,D$93-SUM(E$100:E144))</f>
        <v>0</v>
      </c>
      <c r="E145" s="402">
        <f t="shared" si="16"/>
        <v>0</v>
      </c>
      <c r="F145" s="161">
        <f t="shared" si="17"/>
        <v>0</v>
      </c>
      <c r="G145" s="161">
        <f t="shared" si="18"/>
        <v>0</v>
      </c>
      <c r="H145" s="403">
        <f t="shared" si="19"/>
        <v>0</v>
      </c>
      <c r="I145" s="404">
        <f t="shared" si="20"/>
        <v>0</v>
      </c>
      <c r="J145" s="160">
        <f t="shared" si="21"/>
        <v>0</v>
      </c>
      <c r="K145" s="160"/>
      <c r="L145" s="316"/>
      <c r="M145" s="160">
        <f t="shared" si="22"/>
        <v>0</v>
      </c>
      <c r="N145" s="316"/>
      <c r="O145" s="160">
        <f t="shared" si="23"/>
        <v>0</v>
      </c>
      <c r="P145" s="160">
        <f t="shared" si="24"/>
        <v>0</v>
      </c>
      <c r="Q145" s="1"/>
      <c r="R145" s="1"/>
      <c r="S145" s="1"/>
      <c r="T145" s="1"/>
      <c r="U145" s="1"/>
    </row>
    <row r="146" spans="2:21">
      <c r="B146" t="str">
        <f t="shared" si="15"/>
        <v/>
      </c>
      <c r="C146" s="155">
        <f>IF(D94="","-",+C145+1)</f>
        <v>2059</v>
      </c>
      <c r="D146" s="156">
        <f>IF(F145+SUM(E$100:E145)=D$93,F145,D$93-SUM(E$100:E145))</f>
        <v>0</v>
      </c>
      <c r="E146" s="402">
        <f t="shared" si="16"/>
        <v>0</v>
      </c>
      <c r="F146" s="161">
        <f t="shared" si="17"/>
        <v>0</v>
      </c>
      <c r="G146" s="161">
        <f t="shared" si="18"/>
        <v>0</v>
      </c>
      <c r="H146" s="403">
        <f t="shared" si="19"/>
        <v>0</v>
      </c>
      <c r="I146" s="404">
        <f t="shared" si="20"/>
        <v>0</v>
      </c>
      <c r="J146" s="160">
        <f t="shared" si="21"/>
        <v>0</v>
      </c>
      <c r="K146" s="160"/>
      <c r="L146" s="316"/>
      <c r="M146" s="160">
        <f t="shared" si="22"/>
        <v>0</v>
      </c>
      <c r="N146" s="316"/>
      <c r="O146" s="160">
        <f t="shared" si="23"/>
        <v>0</v>
      </c>
      <c r="P146" s="160">
        <f t="shared" si="24"/>
        <v>0</v>
      </c>
      <c r="Q146" s="1"/>
      <c r="R146" s="1"/>
      <c r="S146" s="1"/>
      <c r="T146" s="1"/>
      <c r="U146" s="1"/>
    </row>
    <row r="147" spans="2:21">
      <c r="B147" t="str">
        <f t="shared" si="15"/>
        <v/>
      </c>
      <c r="C147" s="155">
        <f>IF(D94="","-",+C146+1)</f>
        <v>2060</v>
      </c>
      <c r="D147" s="156">
        <f>IF(F146+SUM(E$100:E146)=D$93,F146,D$93-SUM(E$100:E146))</f>
        <v>0</v>
      </c>
      <c r="E147" s="402">
        <f t="shared" si="16"/>
        <v>0</v>
      </c>
      <c r="F147" s="161">
        <f t="shared" si="17"/>
        <v>0</v>
      </c>
      <c r="G147" s="161">
        <f t="shared" si="18"/>
        <v>0</v>
      </c>
      <c r="H147" s="403">
        <f t="shared" si="19"/>
        <v>0</v>
      </c>
      <c r="I147" s="404">
        <f t="shared" si="20"/>
        <v>0</v>
      </c>
      <c r="J147" s="160">
        <f t="shared" si="21"/>
        <v>0</v>
      </c>
      <c r="K147" s="160"/>
      <c r="L147" s="316"/>
      <c r="M147" s="160">
        <f t="shared" si="22"/>
        <v>0</v>
      </c>
      <c r="N147" s="316"/>
      <c r="O147" s="160">
        <f t="shared" si="23"/>
        <v>0</v>
      </c>
      <c r="P147" s="160">
        <f t="shared" si="24"/>
        <v>0</v>
      </c>
      <c r="Q147" s="1"/>
      <c r="R147" s="1"/>
      <c r="S147" s="1"/>
      <c r="T147" s="1"/>
      <c r="U147" s="1"/>
    </row>
    <row r="148" spans="2:21">
      <c r="B148" t="str">
        <f t="shared" si="15"/>
        <v/>
      </c>
      <c r="C148" s="155">
        <f>IF(D94="","-",+C147+1)</f>
        <v>2061</v>
      </c>
      <c r="D148" s="156">
        <f>IF(F147+SUM(E$100:E147)=D$93,F147,D$93-SUM(E$100:E147))</f>
        <v>0</v>
      </c>
      <c r="E148" s="402">
        <f t="shared" si="16"/>
        <v>0</v>
      </c>
      <c r="F148" s="161">
        <f t="shared" si="17"/>
        <v>0</v>
      </c>
      <c r="G148" s="161">
        <f t="shared" si="18"/>
        <v>0</v>
      </c>
      <c r="H148" s="403">
        <f t="shared" si="19"/>
        <v>0</v>
      </c>
      <c r="I148" s="404">
        <f t="shared" si="20"/>
        <v>0</v>
      </c>
      <c r="J148" s="160">
        <f t="shared" si="21"/>
        <v>0</v>
      </c>
      <c r="K148" s="160"/>
      <c r="L148" s="316"/>
      <c r="M148" s="160">
        <f t="shared" si="22"/>
        <v>0</v>
      </c>
      <c r="N148" s="316"/>
      <c r="O148" s="160">
        <f t="shared" si="23"/>
        <v>0</v>
      </c>
      <c r="P148" s="160">
        <f t="shared" si="24"/>
        <v>0</v>
      </c>
      <c r="Q148" s="1"/>
      <c r="R148" s="1"/>
      <c r="S148" s="1"/>
      <c r="T148" s="1"/>
      <c r="U148" s="1"/>
    </row>
    <row r="149" spans="2:21">
      <c r="B149" t="str">
        <f t="shared" si="15"/>
        <v/>
      </c>
      <c r="C149" s="155">
        <f>IF(D94="","-",+C148+1)</f>
        <v>2062</v>
      </c>
      <c r="D149" s="156">
        <f>IF(F148+SUM(E$100:E148)=D$93,F148,D$93-SUM(E$100:E148))</f>
        <v>0</v>
      </c>
      <c r="E149" s="402">
        <f t="shared" si="16"/>
        <v>0</v>
      </c>
      <c r="F149" s="161">
        <f t="shared" si="17"/>
        <v>0</v>
      </c>
      <c r="G149" s="161">
        <f t="shared" si="18"/>
        <v>0</v>
      </c>
      <c r="H149" s="403">
        <f t="shared" si="19"/>
        <v>0</v>
      </c>
      <c r="I149" s="404">
        <f t="shared" si="20"/>
        <v>0</v>
      </c>
      <c r="J149" s="160">
        <f t="shared" si="21"/>
        <v>0</v>
      </c>
      <c r="K149" s="160"/>
      <c r="L149" s="316"/>
      <c r="M149" s="160">
        <f t="shared" si="22"/>
        <v>0</v>
      </c>
      <c r="N149" s="316"/>
      <c r="O149" s="160">
        <f t="shared" si="23"/>
        <v>0</v>
      </c>
      <c r="P149" s="160">
        <f t="shared" si="24"/>
        <v>0</v>
      </c>
      <c r="Q149" s="1"/>
      <c r="R149" s="1"/>
      <c r="S149" s="1"/>
      <c r="T149" s="1"/>
      <c r="U149" s="1"/>
    </row>
    <row r="150" spans="2:21">
      <c r="B150" t="str">
        <f t="shared" si="15"/>
        <v/>
      </c>
      <c r="C150" s="155">
        <f>IF(D94="","-",+C149+1)</f>
        <v>2063</v>
      </c>
      <c r="D150" s="156">
        <f>IF(F149+SUM(E$100:E149)=D$93,F149,D$93-SUM(E$100:E149))</f>
        <v>0</v>
      </c>
      <c r="E150" s="402">
        <f t="shared" si="16"/>
        <v>0</v>
      </c>
      <c r="F150" s="161">
        <f t="shared" si="17"/>
        <v>0</v>
      </c>
      <c r="G150" s="161">
        <f t="shared" si="18"/>
        <v>0</v>
      </c>
      <c r="H150" s="403">
        <f t="shared" si="19"/>
        <v>0</v>
      </c>
      <c r="I150" s="404">
        <f t="shared" si="20"/>
        <v>0</v>
      </c>
      <c r="J150" s="160">
        <f t="shared" si="21"/>
        <v>0</v>
      </c>
      <c r="K150" s="160"/>
      <c r="L150" s="316"/>
      <c r="M150" s="160">
        <f t="shared" si="22"/>
        <v>0</v>
      </c>
      <c r="N150" s="316"/>
      <c r="O150" s="160">
        <f t="shared" si="23"/>
        <v>0</v>
      </c>
      <c r="P150" s="160">
        <f t="shared" si="24"/>
        <v>0</v>
      </c>
      <c r="Q150" s="1"/>
      <c r="R150" s="1"/>
      <c r="S150" s="1"/>
      <c r="T150" s="1"/>
      <c r="U150" s="1"/>
    </row>
    <row r="151" spans="2:21">
      <c r="B151" t="str">
        <f t="shared" si="15"/>
        <v/>
      </c>
      <c r="C151" s="155">
        <f>IF(D94="","-",+C150+1)</f>
        <v>2064</v>
      </c>
      <c r="D151" s="156">
        <f>IF(F150+SUM(E$100:E150)=D$93,F150,D$93-SUM(E$100:E150))</f>
        <v>0</v>
      </c>
      <c r="E151" s="402">
        <f t="shared" si="16"/>
        <v>0</v>
      </c>
      <c r="F151" s="161">
        <f t="shared" si="17"/>
        <v>0</v>
      </c>
      <c r="G151" s="161">
        <f t="shared" si="18"/>
        <v>0</v>
      </c>
      <c r="H151" s="403">
        <f t="shared" si="19"/>
        <v>0</v>
      </c>
      <c r="I151" s="404">
        <f t="shared" si="20"/>
        <v>0</v>
      </c>
      <c r="J151" s="160">
        <f t="shared" si="21"/>
        <v>0</v>
      </c>
      <c r="K151" s="160"/>
      <c r="L151" s="316"/>
      <c r="M151" s="160">
        <f t="shared" si="22"/>
        <v>0</v>
      </c>
      <c r="N151" s="316"/>
      <c r="O151" s="160">
        <f t="shared" si="23"/>
        <v>0</v>
      </c>
      <c r="P151" s="160">
        <f t="shared" si="24"/>
        <v>0</v>
      </c>
      <c r="Q151" s="1"/>
      <c r="R151" s="1"/>
      <c r="S151" s="1"/>
      <c r="T151" s="1"/>
      <c r="U151" s="1"/>
    </row>
    <row r="152" spans="2:21">
      <c r="B152" t="str">
        <f t="shared" si="15"/>
        <v/>
      </c>
      <c r="C152" s="155">
        <f>IF(D94="","-",+C151+1)</f>
        <v>2065</v>
      </c>
      <c r="D152" s="156">
        <f>IF(F151+SUM(E$100:E151)=D$93,F151,D$93-SUM(E$100:E151))</f>
        <v>0</v>
      </c>
      <c r="E152" s="402">
        <f t="shared" si="16"/>
        <v>0</v>
      </c>
      <c r="F152" s="161">
        <f t="shared" si="17"/>
        <v>0</v>
      </c>
      <c r="G152" s="161">
        <f t="shared" si="18"/>
        <v>0</v>
      </c>
      <c r="H152" s="403">
        <f t="shared" si="19"/>
        <v>0</v>
      </c>
      <c r="I152" s="404">
        <f t="shared" si="20"/>
        <v>0</v>
      </c>
      <c r="J152" s="160">
        <f t="shared" si="21"/>
        <v>0</v>
      </c>
      <c r="K152" s="160"/>
      <c r="L152" s="316"/>
      <c r="M152" s="160">
        <f t="shared" si="22"/>
        <v>0</v>
      </c>
      <c r="N152" s="316"/>
      <c r="O152" s="160">
        <f t="shared" si="23"/>
        <v>0</v>
      </c>
      <c r="P152" s="160">
        <f t="shared" si="24"/>
        <v>0</v>
      </c>
      <c r="Q152" s="1"/>
      <c r="R152" s="1"/>
      <c r="S152" s="1"/>
      <c r="T152" s="1"/>
      <c r="U152" s="1"/>
    </row>
    <row r="153" spans="2:21">
      <c r="B153" t="str">
        <f t="shared" si="15"/>
        <v/>
      </c>
      <c r="C153" s="155">
        <f>IF(D94="","-",+C152+1)</f>
        <v>2066</v>
      </c>
      <c r="D153" s="156">
        <f>IF(F152+SUM(E$100:E152)=D$93,F152,D$93-SUM(E$100:E152))</f>
        <v>0</v>
      </c>
      <c r="E153" s="402">
        <f t="shared" si="16"/>
        <v>0</v>
      </c>
      <c r="F153" s="161">
        <f t="shared" si="17"/>
        <v>0</v>
      </c>
      <c r="G153" s="161">
        <f t="shared" si="18"/>
        <v>0</v>
      </c>
      <c r="H153" s="403">
        <f t="shared" si="19"/>
        <v>0</v>
      </c>
      <c r="I153" s="404">
        <f t="shared" si="20"/>
        <v>0</v>
      </c>
      <c r="J153" s="160">
        <f t="shared" si="21"/>
        <v>0</v>
      </c>
      <c r="K153" s="160"/>
      <c r="L153" s="316"/>
      <c r="M153" s="160">
        <f t="shared" si="22"/>
        <v>0</v>
      </c>
      <c r="N153" s="316"/>
      <c r="O153" s="160">
        <f t="shared" si="23"/>
        <v>0</v>
      </c>
      <c r="P153" s="160">
        <f t="shared" si="24"/>
        <v>0</v>
      </c>
      <c r="Q153" s="1"/>
      <c r="R153" s="1"/>
      <c r="S153" s="1"/>
      <c r="T153" s="1"/>
      <c r="U153" s="1"/>
    </row>
    <row r="154" spans="2:21">
      <c r="B154" t="str">
        <f t="shared" si="15"/>
        <v/>
      </c>
      <c r="C154" s="155">
        <f>IF(D94="","-",+C153+1)</f>
        <v>2067</v>
      </c>
      <c r="D154" s="156">
        <f>IF(F153+SUM(E$100:E153)=D$93,F153,D$93-SUM(E$100:E153))</f>
        <v>0</v>
      </c>
      <c r="E154" s="402">
        <f t="shared" si="16"/>
        <v>0</v>
      </c>
      <c r="F154" s="161">
        <f t="shared" si="17"/>
        <v>0</v>
      </c>
      <c r="G154" s="161">
        <f t="shared" si="18"/>
        <v>0</v>
      </c>
      <c r="H154" s="403">
        <f t="shared" si="19"/>
        <v>0</v>
      </c>
      <c r="I154" s="404">
        <f t="shared" si="20"/>
        <v>0</v>
      </c>
      <c r="J154" s="160">
        <f t="shared" si="21"/>
        <v>0</v>
      </c>
      <c r="K154" s="160"/>
      <c r="L154" s="316"/>
      <c r="M154" s="160">
        <f t="shared" si="22"/>
        <v>0</v>
      </c>
      <c r="N154" s="316"/>
      <c r="O154" s="160">
        <f t="shared" si="23"/>
        <v>0</v>
      </c>
      <c r="P154" s="160">
        <f t="shared" si="24"/>
        <v>0</v>
      </c>
      <c r="Q154" s="1"/>
      <c r="R154" s="1"/>
      <c r="S154" s="1"/>
      <c r="T154" s="1"/>
      <c r="U154" s="1"/>
    </row>
    <row r="155" spans="2:21" ht="13.5" thickBot="1">
      <c r="B155" t="str">
        <f t="shared" si="15"/>
        <v/>
      </c>
      <c r="C155" s="166">
        <f>IF(D94="","-",+C154+1)</f>
        <v>2068</v>
      </c>
      <c r="D155" s="399">
        <f>IF(F154+SUM(E$100:E154)=D$93,F154,D$93-SUM(E$100:E154))</f>
        <v>0</v>
      </c>
      <c r="E155" s="405">
        <f t="shared" si="16"/>
        <v>0</v>
      </c>
      <c r="F155" s="167">
        <f t="shared" si="17"/>
        <v>0</v>
      </c>
      <c r="G155" s="167">
        <f t="shared" si="18"/>
        <v>0</v>
      </c>
      <c r="H155" s="406">
        <f t="shared" si="19"/>
        <v>0</v>
      </c>
      <c r="I155" s="407">
        <f t="shared" si="20"/>
        <v>0</v>
      </c>
      <c r="J155" s="171">
        <f t="shared" si="21"/>
        <v>0</v>
      </c>
      <c r="K155" s="160"/>
      <c r="L155" s="317"/>
      <c r="M155" s="171">
        <f t="shared" si="22"/>
        <v>0</v>
      </c>
      <c r="N155" s="317"/>
      <c r="O155" s="171">
        <f t="shared" si="23"/>
        <v>0</v>
      </c>
      <c r="P155" s="171">
        <f t="shared" si="24"/>
        <v>0</v>
      </c>
      <c r="Q155" s="1"/>
      <c r="R155" s="1"/>
      <c r="S155" s="1"/>
      <c r="T155" s="1"/>
      <c r="U155" s="1"/>
    </row>
    <row r="156" spans="2:21">
      <c r="C156" s="156" t="s">
        <v>75</v>
      </c>
      <c r="D156" s="112"/>
      <c r="E156" s="112">
        <f>SUM(E100:E155)</f>
        <v>13254470</v>
      </c>
      <c r="F156" s="112"/>
      <c r="G156" s="112"/>
      <c r="H156" s="112">
        <f>SUM(H100:H155)</f>
        <v>39551351.252366342</v>
      </c>
      <c r="I156" s="112">
        <f>SUM(I100:I155)</f>
        <v>39551351.252366342</v>
      </c>
      <c r="J156" s="112">
        <f>SUM(J100:J155)</f>
        <v>0</v>
      </c>
      <c r="K156" s="112"/>
      <c r="L156" s="112"/>
      <c r="M156" s="112"/>
      <c r="N156" s="112"/>
      <c r="O156" s="112"/>
      <c r="P156" s="1"/>
      <c r="Q156" s="1"/>
      <c r="R156" s="1"/>
      <c r="S156" s="1"/>
      <c r="T156" s="1"/>
      <c r="U156" s="1"/>
    </row>
    <row r="157" spans="2:21">
      <c r="C157" t="s">
        <v>90</v>
      </c>
      <c r="D157" s="2"/>
      <c r="E157" s="1"/>
      <c r="F157" s="1"/>
      <c r="G157" s="1"/>
      <c r="H157" s="1"/>
      <c r="I157" s="3"/>
      <c r="J157" s="3"/>
      <c r="K157" s="112"/>
      <c r="L157" s="3"/>
      <c r="M157" s="3"/>
      <c r="N157" s="3"/>
      <c r="O157" s="3"/>
      <c r="P157" s="1"/>
      <c r="Q157" s="1"/>
      <c r="R157" s="1"/>
      <c r="S157" s="1"/>
      <c r="T157" s="1"/>
      <c r="U157" s="1"/>
    </row>
    <row r="158" spans="2:21">
      <c r="C158" s="215"/>
      <c r="D158" s="2"/>
      <c r="E158" s="1"/>
      <c r="F158" s="1"/>
      <c r="G158" s="1"/>
      <c r="H158" s="1"/>
      <c r="I158" s="3"/>
      <c r="J158" s="3"/>
      <c r="K158" s="112"/>
      <c r="L158" s="3"/>
      <c r="M158" s="3"/>
      <c r="N158" s="3"/>
      <c r="O158" s="3"/>
      <c r="P158" s="1"/>
      <c r="Q158" s="1"/>
      <c r="R158" s="1"/>
      <c r="S158" s="1"/>
      <c r="T158" s="1"/>
      <c r="U158" s="1"/>
    </row>
    <row r="159" spans="2:21">
      <c r="C159" s="245" t="s">
        <v>130</v>
      </c>
      <c r="D159" s="2"/>
      <c r="E159" s="1"/>
      <c r="F159" s="1"/>
      <c r="G159" s="1"/>
      <c r="H159" s="1"/>
      <c r="I159" s="3"/>
      <c r="J159" s="3"/>
      <c r="K159" s="112"/>
      <c r="L159" s="3"/>
      <c r="M159" s="3"/>
      <c r="N159" s="3"/>
      <c r="O159" s="3"/>
      <c r="P159" s="1"/>
      <c r="Q159" s="1"/>
      <c r="R159" s="1"/>
      <c r="S159" s="1"/>
      <c r="T159" s="1"/>
      <c r="U159" s="1"/>
    </row>
    <row r="160" spans="2: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25" priority="1" stopIfTrue="1" operator="equal">
      <formula>$I$10</formula>
    </cfRule>
  </conditionalFormatting>
  <conditionalFormatting sqref="C100:C155">
    <cfRule type="cellIs" dxfId="2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39997558519241921"/>
  </sheetPr>
  <dimension ref="A1:U163"/>
  <sheetViews>
    <sheetView view="pageBreakPreview" zoomScale="78" zoomScaleNormal="100" zoomScaleSheetLayoutView="78" workbookViewId="0">
      <selection activeCell="D22" sqref="D22:H22"/>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"&amp;RIGHT(MID(CELL("filename",$A$1),FIND("]",CELL("filename",$A$1))+1,256),2)&amp;" of "&amp;COUNT('OKT.001:OKT.xyz - blank'!$P$3)-1</f>
        <v>OKT Project 13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0</v>
      </c>
      <c r="P5" s="1"/>
      <c r="R5" s="1"/>
      <c r="S5" s="1"/>
      <c r="T5" s="1"/>
      <c r="U5" s="1"/>
    </row>
    <row r="6" spans="1:21" ht="15.75">
      <c r="C6" s="469" t="s">
        <v>267</v>
      </c>
      <c r="D6" s="2"/>
      <c r="E6" s="1"/>
      <c r="F6" s="1"/>
      <c r="G6" s="1"/>
      <c r="H6" s="119"/>
      <c r="I6" s="119"/>
      <c r="J6" s="120"/>
      <c r="K6" s="121" t="s">
        <v>243</v>
      </c>
      <c r="L6" s="122"/>
      <c r="M6" s="4"/>
      <c r="N6" s="123">
        <f>VLOOKUP(I10,C17:I73,6)</f>
        <v>0</v>
      </c>
      <c r="O6" s="1"/>
      <c r="P6" s="1"/>
      <c r="R6" s="1"/>
      <c r="S6" s="1"/>
      <c r="T6" s="1"/>
      <c r="U6" s="1"/>
    </row>
    <row r="7" spans="1:21" ht="13.5" thickBot="1">
      <c r="C7" s="124" t="s">
        <v>46</v>
      </c>
      <c r="D7" s="258" t="s">
        <v>231</v>
      </c>
      <c r="E7" s="1"/>
      <c r="F7" s="1"/>
      <c r="G7" s="1"/>
      <c r="H7" s="3"/>
      <c r="I7" s="3"/>
      <c r="J7" s="112"/>
      <c r="K7" s="125" t="s">
        <v>47</v>
      </c>
      <c r="L7" s="126"/>
      <c r="M7" s="126"/>
      <c r="N7" s="127">
        <f>+N6-N5</f>
        <v>0</v>
      </c>
      <c r="O7" s="1"/>
      <c r="P7" s="1"/>
      <c r="R7" s="1"/>
      <c r="S7" s="1"/>
      <c r="T7" s="1"/>
      <c r="U7" s="1"/>
    </row>
    <row r="8" spans="1:21" ht="13.5" thickBot="1">
      <c r="C8" s="128"/>
      <c r="D8" s="383" t="s">
        <v>230</v>
      </c>
      <c r="E8" s="129"/>
      <c r="F8" s="129"/>
      <c r="G8" s="129"/>
      <c r="H8" s="129"/>
      <c r="I8" s="129"/>
      <c r="J8" s="102"/>
      <c r="K8" s="129"/>
      <c r="L8" s="129"/>
      <c r="M8" s="129"/>
      <c r="N8" s="129"/>
      <c r="O8" s="102"/>
      <c r="P8" s="23"/>
      <c r="R8" s="1"/>
      <c r="S8" s="1"/>
      <c r="T8" s="1"/>
      <c r="U8" s="1"/>
    </row>
    <row r="9" spans="1:21" ht="13.5" thickBot="1">
      <c r="C9" s="130" t="s">
        <v>48</v>
      </c>
      <c r="D9" s="224" t="s">
        <v>232</v>
      </c>
      <c r="E9" s="131"/>
      <c r="F9" s="131"/>
      <c r="G9" s="131"/>
      <c r="H9" s="131"/>
      <c r="I9" s="132"/>
      <c r="J9" s="133"/>
      <c r="O9" s="134"/>
      <c r="P9" s="4"/>
      <c r="R9" s="1"/>
      <c r="S9" s="1"/>
      <c r="T9" s="1"/>
      <c r="U9" s="1"/>
    </row>
    <row r="10" spans="1:21">
      <c r="C10" s="135" t="s">
        <v>49</v>
      </c>
      <c r="D10" s="136">
        <v>4817114</v>
      </c>
      <c r="E10" s="63" t="s">
        <v>50</v>
      </c>
      <c r="F10" s="134"/>
      <c r="G10" s="137"/>
      <c r="H10" s="137"/>
      <c r="I10" s="138">
        <f>+OKT.WS.F.BPU.ATRR.Projected!R100</f>
        <v>2018</v>
      </c>
      <c r="J10" s="133"/>
      <c r="K10" s="112" t="s">
        <v>51</v>
      </c>
      <c r="O10" s="4"/>
      <c r="P10" s="4"/>
      <c r="R10" s="1"/>
      <c r="S10" s="1"/>
      <c r="T10" s="1"/>
      <c r="U10" s="1"/>
    </row>
    <row r="11" spans="1:21">
      <c r="C11" s="139" t="s">
        <v>52</v>
      </c>
      <c r="D11" s="140">
        <v>2013</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10</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118137.70698949961</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155">
        <f>IF(D11= "","-",D11)</f>
        <v>2013</v>
      </c>
      <c r="D17" s="392">
        <v>4086696.07</v>
      </c>
      <c r="E17" s="400">
        <v>11782.768994177641</v>
      </c>
      <c r="F17" s="392">
        <v>4074913.3010058221</v>
      </c>
      <c r="G17" s="400">
        <v>123870.72395190655</v>
      </c>
      <c r="H17" s="398">
        <v>123870.72395190655</v>
      </c>
      <c r="I17" s="408">
        <v>0</v>
      </c>
      <c r="J17" s="158"/>
      <c r="K17" s="318">
        <f t="shared" ref="K17:K22" si="1">G17</f>
        <v>123870.72395190655</v>
      </c>
      <c r="L17" s="340">
        <f t="shared" ref="L17:L73" si="2">IF(K17&lt;&gt;0,+G17-K17,0)</f>
        <v>0</v>
      </c>
      <c r="M17" s="318">
        <f t="shared" ref="M17:M22" si="3">H17</f>
        <v>123870.72395190655</v>
      </c>
      <c r="N17" s="159">
        <f t="shared" ref="N17:N73" si="4">IF(M17&lt;&gt;0,+H17-M17,0)</f>
        <v>0</v>
      </c>
      <c r="O17" s="160">
        <f t="shared" ref="O17:O73" si="5">+N17-L17</f>
        <v>0</v>
      </c>
      <c r="P17" s="4"/>
      <c r="R17" s="1"/>
      <c r="S17" s="1"/>
      <c r="T17" s="1"/>
      <c r="U17" s="1"/>
    </row>
    <row r="18" spans="2:21">
      <c r="B18" t="str">
        <f t="shared" si="0"/>
        <v/>
      </c>
      <c r="C18" s="155">
        <f>IF(D11="","-",+C17+1)</f>
        <v>2014</v>
      </c>
      <c r="D18" s="394">
        <v>4074913.3010058221</v>
      </c>
      <c r="E18" s="393">
        <v>70696.613965065844</v>
      </c>
      <c r="F18" s="394">
        <v>4004216.6870407565</v>
      </c>
      <c r="G18" s="393">
        <v>511269.87430631154</v>
      </c>
      <c r="H18" s="398">
        <v>511269.87430631154</v>
      </c>
      <c r="I18" s="408">
        <v>0</v>
      </c>
      <c r="J18" s="158"/>
      <c r="K18" s="355">
        <f t="shared" si="1"/>
        <v>511269.87430631154</v>
      </c>
      <c r="L18" s="360">
        <f t="shared" si="2"/>
        <v>0</v>
      </c>
      <c r="M18" s="355">
        <f t="shared" si="3"/>
        <v>511269.87430631154</v>
      </c>
      <c r="N18" s="357">
        <f t="shared" si="4"/>
        <v>0</v>
      </c>
      <c r="O18" s="360">
        <f t="shared" si="5"/>
        <v>0</v>
      </c>
      <c r="P18" s="4"/>
      <c r="R18" s="1"/>
      <c r="S18" s="1"/>
      <c r="T18" s="1"/>
      <c r="U18" s="1"/>
    </row>
    <row r="19" spans="2:21">
      <c r="B19" t="str">
        <f t="shared" si="0"/>
        <v/>
      </c>
      <c r="C19" s="155">
        <f>IF(D11="","-",+C18+1)</f>
        <v>2015</v>
      </c>
      <c r="D19" s="394">
        <v>4004216.6870407565</v>
      </c>
      <c r="E19" s="393">
        <v>70696.613965065844</v>
      </c>
      <c r="F19" s="394">
        <v>3933520.0730756908</v>
      </c>
      <c r="G19" s="393">
        <v>476106.58378878143</v>
      </c>
      <c r="H19" s="398">
        <v>476106.58378878143</v>
      </c>
      <c r="I19" s="342">
        <v>0</v>
      </c>
      <c r="J19" s="158"/>
      <c r="K19" s="355">
        <f t="shared" si="1"/>
        <v>476106.58378878143</v>
      </c>
      <c r="L19" s="360">
        <f>IF(K19&lt;&gt;0,+G19-K19,0)</f>
        <v>0</v>
      </c>
      <c r="M19" s="355">
        <f t="shared" si="3"/>
        <v>476106.58378878143</v>
      </c>
      <c r="N19" s="357">
        <f>IF(M19&lt;&gt;0,+H19-M19,0)</f>
        <v>0</v>
      </c>
      <c r="O19" s="360">
        <f>+N19-L19</f>
        <v>0</v>
      </c>
      <c r="P19" s="4"/>
      <c r="R19" s="1"/>
      <c r="S19" s="1"/>
      <c r="T19" s="1"/>
      <c r="U19" s="1"/>
    </row>
    <row r="20" spans="2:21">
      <c r="B20" t="str">
        <f t="shared" si="0"/>
        <v/>
      </c>
      <c r="C20" s="155">
        <f>IF(D11="","-",+C19+1)</f>
        <v>2016</v>
      </c>
      <c r="D20" s="394">
        <v>3933520.0730756908</v>
      </c>
      <c r="E20" s="393">
        <v>84919.313620452886</v>
      </c>
      <c r="F20" s="394">
        <v>3848600.759455238</v>
      </c>
      <c r="G20" s="393">
        <v>500107.78781700449</v>
      </c>
      <c r="H20" s="398">
        <v>500107.78781700449</v>
      </c>
      <c r="I20" s="158">
        <f>H20-G20</f>
        <v>0</v>
      </c>
      <c r="J20" s="158"/>
      <c r="K20" s="355">
        <f t="shared" si="1"/>
        <v>500107.78781700449</v>
      </c>
      <c r="L20" s="360">
        <f>IF(K20&lt;&gt;0,+G20-K20,0)</f>
        <v>0</v>
      </c>
      <c r="M20" s="355">
        <f t="shared" si="3"/>
        <v>500107.78781700449</v>
      </c>
      <c r="N20" s="160">
        <f t="shared" si="4"/>
        <v>0</v>
      </c>
      <c r="O20" s="160">
        <f t="shared" si="5"/>
        <v>0</v>
      </c>
      <c r="P20" s="4"/>
      <c r="R20" s="1"/>
      <c r="S20" s="1"/>
      <c r="T20" s="1"/>
      <c r="U20" s="1"/>
    </row>
    <row r="21" spans="2:21">
      <c r="B21" t="str">
        <f t="shared" si="0"/>
        <v>IU</v>
      </c>
      <c r="C21" s="155">
        <f>IF(D11="","-",+C20+1)</f>
        <v>2017</v>
      </c>
      <c r="D21" s="394">
        <v>4561942.6894552382</v>
      </c>
      <c r="E21" s="393">
        <v>94378.250117010364</v>
      </c>
      <c r="F21" s="394">
        <v>4467564.4393382277</v>
      </c>
      <c r="G21" s="393">
        <v>590730.13217900996</v>
      </c>
      <c r="H21" s="398">
        <v>590730.13217900996</v>
      </c>
      <c r="I21" s="158">
        <f t="shared" ref="I21:I73" si="6">H21-G21</f>
        <v>0</v>
      </c>
      <c r="J21" s="158"/>
      <c r="K21" s="355">
        <f t="shared" si="1"/>
        <v>590730.13217900996</v>
      </c>
      <c r="L21" s="360">
        <f>IF(K21&lt;&gt;0,+G21-K21,0)</f>
        <v>0</v>
      </c>
      <c r="M21" s="355">
        <f t="shared" si="3"/>
        <v>590730.13217900996</v>
      </c>
      <c r="N21" s="160">
        <f>IF(M21&lt;&gt;0,+H21-M21,0)</f>
        <v>0</v>
      </c>
      <c r="O21" s="160">
        <f>+N21-L21</f>
        <v>0</v>
      </c>
      <c r="P21" s="4"/>
      <c r="R21" s="1"/>
      <c r="S21" s="1"/>
      <c r="T21" s="1"/>
      <c r="U21" s="1"/>
    </row>
    <row r="22" spans="2:21">
      <c r="B22" t="str">
        <f t="shared" si="0"/>
        <v>IU</v>
      </c>
      <c r="C22" s="155">
        <f>IF(D11="","-",+C21+1)</f>
        <v>2018</v>
      </c>
      <c r="D22" s="394"/>
      <c r="E22" s="393"/>
      <c r="F22" s="394"/>
      <c r="G22" s="393"/>
      <c r="H22" s="398"/>
      <c r="I22" s="158">
        <v>0</v>
      </c>
      <c r="J22" s="158"/>
      <c r="K22" s="355">
        <f t="shared" si="1"/>
        <v>0</v>
      </c>
      <c r="L22" s="360">
        <f>IF(K22&lt;&gt;0,+G22-K22,0)</f>
        <v>0</v>
      </c>
      <c r="M22" s="355">
        <f t="shared" si="3"/>
        <v>0</v>
      </c>
      <c r="N22" s="160">
        <f>IF(M22&lt;&gt;0,+H22-M22,0)</f>
        <v>0</v>
      </c>
      <c r="O22" s="160">
        <f>+N22-L22</f>
        <v>0</v>
      </c>
      <c r="P22" s="4"/>
      <c r="R22" s="1"/>
      <c r="S22" s="1"/>
      <c r="T22" s="1"/>
      <c r="U22" s="1"/>
    </row>
    <row r="23" spans="2:21">
      <c r="B23" t="str">
        <f t="shared" si="0"/>
        <v>IU</v>
      </c>
      <c r="C23" s="155">
        <f>IF(D11="","-",+C22+1)</f>
        <v>2019</v>
      </c>
      <c r="D23" s="164">
        <f>IF(F22+SUM(E$17:E22)=D$10,F22,D$10-SUM(E$17:E22))</f>
        <v>4484640.4393382277</v>
      </c>
      <c r="E23" s="162">
        <f t="shared" ref="E23:E73" si="7">IF(+$I$14&lt;F22,$I$14,D23)</f>
        <v>4484640.4393382277</v>
      </c>
      <c r="F23" s="161">
        <f t="shared" ref="F23:F73" si="8">+D23-E23</f>
        <v>0</v>
      </c>
      <c r="G23" s="163">
        <f t="shared" ref="G23:G73" si="9">(D23+F23)/2*I$12+E23</f>
        <v>4748092.9447500771</v>
      </c>
      <c r="H23" s="145">
        <f t="shared" ref="H23:H73" si="10">+(D23+F23)/2*I$13+E23</f>
        <v>4748092.9447500771</v>
      </c>
      <c r="I23" s="158">
        <f t="shared" si="6"/>
        <v>0</v>
      </c>
      <c r="J23" s="158"/>
      <c r="K23" s="316"/>
      <c r="L23" s="160">
        <f t="shared" si="2"/>
        <v>0</v>
      </c>
      <c r="M23" s="316"/>
      <c r="N23" s="160">
        <f t="shared" si="4"/>
        <v>0</v>
      </c>
      <c r="O23" s="160">
        <f t="shared" si="5"/>
        <v>0</v>
      </c>
      <c r="P23" s="4"/>
      <c r="R23" s="1"/>
      <c r="S23" s="1"/>
      <c r="T23" s="1"/>
      <c r="U23" s="1"/>
    </row>
    <row r="24" spans="2:21">
      <c r="B24" t="str">
        <f t="shared" si="0"/>
        <v/>
      </c>
      <c r="C24" s="155">
        <f>IF(D11="","-",+C23+1)</f>
        <v>2020</v>
      </c>
      <c r="D24" s="164">
        <f>IF(F23+SUM(E$17:E23)=D$10,F23,D$10-SUM(E$17:E23))</f>
        <v>0</v>
      </c>
      <c r="E24" s="162">
        <f t="shared" si="7"/>
        <v>0</v>
      </c>
      <c r="F24" s="161">
        <f t="shared" si="8"/>
        <v>0</v>
      </c>
      <c r="G24" s="163">
        <f t="shared" si="9"/>
        <v>0</v>
      </c>
      <c r="H24" s="145">
        <f t="shared" si="10"/>
        <v>0</v>
      </c>
      <c r="I24" s="158">
        <f t="shared" si="6"/>
        <v>0</v>
      </c>
      <c r="J24" s="158"/>
      <c r="K24" s="316"/>
      <c r="L24" s="160">
        <f t="shared" si="2"/>
        <v>0</v>
      </c>
      <c r="M24" s="316"/>
      <c r="N24" s="160">
        <f t="shared" si="4"/>
        <v>0</v>
      </c>
      <c r="O24" s="160">
        <f t="shared" si="5"/>
        <v>0</v>
      </c>
      <c r="P24" s="4"/>
      <c r="R24" s="1"/>
      <c r="S24" s="1"/>
      <c r="T24" s="1"/>
      <c r="U24" s="1"/>
    </row>
    <row r="25" spans="2:21">
      <c r="B25" t="str">
        <f t="shared" si="0"/>
        <v/>
      </c>
      <c r="C25" s="155">
        <f>IF(D11="","-",+C24+1)</f>
        <v>2021</v>
      </c>
      <c r="D25" s="164">
        <f>IF(F24+SUM(E$17:E24)=D$10,F24,D$10-SUM(E$17:E24))</f>
        <v>0</v>
      </c>
      <c r="E25" s="162">
        <f t="shared" si="7"/>
        <v>0</v>
      </c>
      <c r="F25" s="161">
        <f t="shared" si="8"/>
        <v>0</v>
      </c>
      <c r="G25" s="163">
        <f t="shared" si="9"/>
        <v>0</v>
      </c>
      <c r="H25" s="145">
        <f t="shared" si="10"/>
        <v>0</v>
      </c>
      <c r="I25" s="158">
        <f t="shared" si="6"/>
        <v>0</v>
      </c>
      <c r="J25" s="158"/>
      <c r="K25" s="316"/>
      <c r="L25" s="160">
        <f t="shared" si="2"/>
        <v>0</v>
      </c>
      <c r="M25" s="316"/>
      <c r="N25" s="160">
        <f t="shared" si="4"/>
        <v>0</v>
      </c>
      <c r="O25" s="160">
        <f t="shared" si="5"/>
        <v>0</v>
      </c>
      <c r="P25" s="4"/>
      <c r="R25" s="1"/>
      <c r="S25" s="1"/>
      <c r="T25" s="1"/>
      <c r="U25" s="1"/>
    </row>
    <row r="26" spans="2:21">
      <c r="B26" t="str">
        <f t="shared" si="0"/>
        <v/>
      </c>
      <c r="C26" s="155">
        <f>IF(D11="","-",+C25+1)</f>
        <v>2022</v>
      </c>
      <c r="D26" s="164">
        <f>IF(F25+SUM(E$17:E25)=D$10,F25,D$10-SUM(E$17:E25))</f>
        <v>0</v>
      </c>
      <c r="E26" s="162">
        <f t="shared" si="7"/>
        <v>0</v>
      </c>
      <c r="F26" s="161">
        <f t="shared" si="8"/>
        <v>0</v>
      </c>
      <c r="G26" s="163">
        <f t="shared" si="9"/>
        <v>0</v>
      </c>
      <c r="H26" s="145">
        <f t="shared" si="10"/>
        <v>0</v>
      </c>
      <c r="I26" s="158">
        <f t="shared" si="6"/>
        <v>0</v>
      </c>
      <c r="J26" s="158"/>
      <c r="K26" s="316"/>
      <c r="L26" s="160">
        <f t="shared" si="2"/>
        <v>0</v>
      </c>
      <c r="M26" s="316"/>
      <c r="N26" s="160">
        <f t="shared" si="4"/>
        <v>0</v>
      </c>
      <c r="O26" s="160">
        <f t="shared" si="5"/>
        <v>0</v>
      </c>
      <c r="P26" s="4"/>
      <c r="R26" s="1"/>
      <c r="S26" s="1"/>
      <c r="T26" s="1"/>
      <c r="U26" s="1"/>
    </row>
    <row r="27" spans="2:21">
      <c r="B27" t="str">
        <f t="shared" si="0"/>
        <v/>
      </c>
      <c r="C27" s="155">
        <f>IF(D11="","-",+C26+1)</f>
        <v>2023</v>
      </c>
      <c r="D27" s="164">
        <f>IF(F26+SUM(E$17:E26)=D$10,F26,D$10-SUM(E$17:E26))</f>
        <v>0</v>
      </c>
      <c r="E27" s="162">
        <f t="shared" si="7"/>
        <v>0</v>
      </c>
      <c r="F27" s="161">
        <f t="shared" si="8"/>
        <v>0</v>
      </c>
      <c r="G27" s="163">
        <f t="shared" si="9"/>
        <v>0</v>
      </c>
      <c r="H27" s="145">
        <f t="shared" si="10"/>
        <v>0</v>
      </c>
      <c r="I27" s="158">
        <f t="shared" si="6"/>
        <v>0</v>
      </c>
      <c r="J27" s="158"/>
      <c r="K27" s="316"/>
      <c r="L27" s="160">
        <f t="shared" si="2"/>
        <v>0</v>
      </c>
      <c r="M27" s="316"/>
      <c r="N27" s="160">
        <f t="shared" si="4"/>
        <v>0</v>
      </c>
      <c r="O27" s="160">
        <f t="shared" si="5"/>
        <v>0</v>
      </c>
      <c r="P27" s="4"/>
      <c r="R27" s="1"/>
      <c r="S27" s="1"/>
      <c r="T27" s="1"/>
      <c r="U27" s="1"/>
    </row>
    <row r="28" spans="2:21">
      <c r="B28" t="str">
        <f t="shared" si="0"/>
        <v/>
      </c>
      <c r="C28" s="155">
        <f>IF(D11="","-",+C27+1)</f>
        <v>2024</v>
      </c>
      <c r="D28" s="164">
        <f>IF(F27+SUM(E$17:E27)=D$10,F27,D$10-SUM(E$17:E27))</f>
        <v>0</v>
      </c>
      <c r="E28" s="162">
        <f t="shared" si="7"/>
        <v>0</v>
      </c>
      <c r="F28" s="161">
        <f t="shared" si="8"/>
        <v>0</v>
      </c>
      <c r="G28" s="163">
        <f t="shared" si="9"/>
        <v>0</v>
      </c>
      <c r="H28" s="145">
        <f t="shared" si="10"/>
        <v>0</v>
      </c>
      <c r="I28" s="158">
        <f t="shared" si="6"/>
        <v>0</v>
      </c>
      <c r="J28" s="158"/>
      <c r="K28" s="316"/>
      <c r="L28" s="160">
        <f t="shared" si="2"/>
        <v>0</v>
      </c>
      <c r="M28" s="316"/>
      <c r="N28" s="160">
        <f t="shared" si="4"/>
        <v>0</v>
      </c>
      <c r="O28" s="160">
        <f t="shared" si="5"/>
        <v>0</v>
      </c>
      <c r="P28" s="4"/>
      <c r="R28" s="1"/>
      <c r="S28" s="1"/>
      <c r="T28" s="1"/>
      <c r="U28" s="1"/>
    </row>
    <row r="29" spans="2:21">
      <c r="B29" t="str">
        <f t="shared" si="0"/>
        <v/>
      </c>
      <c r="C29" s="155">
        <f>IF(D11="","-",+C28+1)</f>
        <v>2025</v>
      </c>
      <c r="D29" s="164">
        <f>IF(F28+SUM(E$17:E28)=D$10,F28,D$10-SUM(E$17:E28))</f>
        <v>0</v>
      </c>
      <c r="E29" s="162">
        <f t="shared" si="7"/>
        <v>0</v>
      </c>
      <c r="F29" s="161">
        <f t="shared" si="8"/>
        <v>0</v>
      </c>
      <c r="G29" s="163">
        <f t="shared" si="9"/>
        <v>0</v>
      </c>
      <c r="H29" s="145">
        <f t="shared" si="10"/>
        <v>0</v>
      </c>
      <c r="I29" s="158">
        <f t="shared" si="6"/>
        <v>0</v>
      </c>
      <c r="J29" s="158"/>
      <c r="K29" s="316"/>
      <c r="L29" s="160">
        <f t="shared" si="2"/>
        <v>0</v>
      </c>
      <c r="M29" s="316"/>
      <c r="N29" s="160">
        <f t="shared" si="4"/>
        <v>0</v>
      </c>
      <c r="O29" s="160">
        <f t="shared" si="5"/>
        <v>0</v>
      </c>
      <c r="P29" s="4"/>
      <c r="R29" s="1"/>
      <c r="S29" s="1"/>
      <c r="T29" s="1"/>
      <c r="U29" s="1"/>
    </row>
    <row r="30" spans="2:21">
      <c r="B30" t="str">
        <f t="shared" si="0"/>
        <v/>
      </c>
      <c r="C30" s="155">
        <f>IF(D11="","-",+C29+1)</f>
        <v>2026</v>
      </c>
      <c r="D30" s="164">
        <f>IF(F29+SUM(E$17:E29)=D$10,F29,D$10-SUM(E$17:E29))</f>
        <v>0</v>
      </c>
      <c r="E30" s="162">
        <f t="shared" si="7"/>
        <v>0</v>
      </c>
      <c r="F30" s="161">
        <f t="shared" si="8"/>
        <v>0</v>
      </c>
      <c r="G30" s="163">
        <f t="shared" si="9"/>
        <v>0</v>
      </c>
      <c r="H30" s="145">
        <f t="shared" si="10"/>
        <v>0</v>
      </c>
      <c r="I30" s="158">
        <f t="shared" si="6"/>
        <v>0</v>
      </c>
      <c r="J30" s="158"/>
      <c r="K30" s="316"/>
      <c r="L30" s="160">
        <f t="shared" si="2"/>
        <v>0</v>
      </c>
      <c r="M30" s="316"/>
      <c r="N30" s="160">
        <f t="shared" si="4"/>
        <v>0</v>
      </c>
      <c r="O30" s="160">
        <f t="shared" si="5"/>
        <v>0</v>
      </c>
      <c r="P30" s="4"/>
      <c r="R30" s="1"/>
      <c r="S30" s="1"/>
      <c r="T30" s="1"/>
      <c r="U30" s="1"/>
    </row>
    <row r="31" spans="2:21">
      <c r="B31" t="str">
        <f t="shared" si="0"/>
        <v/>
      </c>
      <c r="C31" s="155">
        <f>IF(D11="","-",+C30+1)</f>
        <v>2027</v>
      </c>
      <c r="D31" s="164">
        <f>IF(F30+SUM(E$17:E30)=D$10,F30,D$10-SUM(E$17:E30))</f>
        <v>0</v>
      </c>
      <c r="E31" s="162">
        <f t="shared" si="7"/>
        <v>0</v>
      </c>
      <c r="F31" s="161">
        <f t="shared" si="8"/>
        <v>0</v>
      </c>
      <c r="G31" s="163">
        <f t="shared" si="9"/>
        <v>0</v>
      </c>
      <c r="H31" s="145">
        <f t="shared" si="10"/>
        <v>0</v>
      </c>
      <c r="I31" s="158">
        <f t="shared" si="6"/>
        <v>0</v>
      </c>
      <c r="J31" s="158"/>
      <c r="K31" s="316"/>
      <c r="L31" s="160">
        <f t="shared" si="2"/>
        <v>0</v>
      </c>
      <c r="M31" s="316"/>
      <c r="N31" s="160">
        <f t="shared" si="4"/>
        <v>0</v>
      </c>
      <c r="O31" s="160">
        <f t="shared" si="5"/>
        <v>0</v>
      </c>
      <c r="P31" s="4"/>
      <c r="Q31" s="7"/>
      <c r="R31" s="4"/>
      <c r="S31" s="4"/>
      <c r="T31" s="4"/>
      <c r="U31" s="1"/>
    </row>
    <row r="32" spans="2:21">
      <c r="B32" t="str">
        <f t="shared" si="0"/>
        <v/>
      </c>
      <c r="C32" s="155">
        <f>IF(D12="","-",+C31+1)</f>
        <v>2028</v>
      </c>
      <c r="D32" s="164">
        <f>IF(F31+SUM(E$17:E31)=D$10,F31,D$10-SUM(E$17:E31))</f>
        <v>0</v>
      </c>
      <c r="E32" s="162">
        <f>IF(+$I$14&lt;F31,$I$14,D32)</f>
        <v>0</v>
      </c>
      <c r="F32" s="161">
        <f>+D32-E32</f>
        <v>0</v>
      </c>
      <c r="G32" s="163">
        <f t="shared" si="9"/>
        <v>0</v>
      </c>
      <c r="H32" s="145">
        <f t="shared" si="10"/>
        <v>0</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2029</v>
      </c>
      <c r="D33" s="164">
        <f>IF(F32+SUM(E$17:E32)=D$10,F32,D$10-SUM(E$17:E32))</f>
        <v>0</v>
      </c>
      <c r="E33" s="162">
        <f>IF(+$I$14&lt;F32,$I$14,D33)</f>
        <v>0</v>
      </c>
      <c r="F33" s="161">
        <f>+D33-E33</f>
        <v>0</v>
      </c>
      <c r="G33" s="163">
        <f t="shared" si="9"/>
        <v>0</v>
      </c>
      <c r="H33" s="145">
        <f t="shared" si="10"/>
        <v>0</v>
      </c>
      <c r="I33" s="158">
        <f>H33-G33</f>
        <v>0</v>
      </c>
      <c r="J33" s="158"/>
      <c r="K33" s="316"/>
      <c r="L33" s="160">
        <f>IF(K33&lt;&gt;0,+G33-K33,0)</f>
        <v>0</v>
      </c>
      <c r="M33" s="316"/>
      <c r="N33" s="160">
        <f>IF(M33&lt;&gt;0,+H33-M33,0)</f>
        <v>0</v>
      </c>
      <c r="O33" s="160">
        <f>+N33-L33</f>
        <v>0</v>
      </c>
      <c r="P33" s="4"/>
      <c r="R33" s="1"/>
      <c r="S33" s="1"/>
      <c r="T33" s="1"/>
      <c r="U33" s="1"/>
    </row>
    <row r="34" spans="2:21">
      <c r="B34" t="str">
        <f t="shared" si="0"/>
        <v/>
      </c>
      <c r="C34" s="422">
        <f>IF(D11="","-",+C33+1)</f>
        <v>2030</v>
      </c>
      <c r="D34" s="431">
        <f>IF(F33+SUM(E$17:E33)=D$10,F33,D$10-SUM(E$17:E33))</f>
        <v>0</v>
      </c>
      <c r="E34" s="424">
        <f t="shared" si="7"/>
        <v>0</v>
      </c>
      <c r="F34" s="423">
        <f t="shared" si="8"/>
        <v>0</v>
      </c>
      <c r="G34" s="163">
        <f t="shared" si="9"/>
        <v>0</v>
      </c>
      <c r="H34" s="145">
        <f t="shared" si="10"/>
        <v>0</v>
      </c>
      <c r="I34" s="427">
        <f t="shared" si="6"/>
        <v>0</v>
      </c>
      <c r="J34" s="427"/>
      <c r="K34" s="428"/>
      <c r="L34" s="429">
        <f t="shared" si="2"/>
        <v>0</v>
      </c>
      <c r="M34" s="428"/>
      <c r="N34" s="429">
        <f t="shared" si="4"/>
        <v>0</v>
      </c>
      <c r="O34" s="429">
        <f t="shared" si="5"/>
        <v>0</v>
      </c>
      <c r="P34" s="430"/>
      <c r="Q34" s="290"/>
      <c r="R34" s="430"/>
      <c r="S34" s="430"/>
      <c r="T34" s="430"/>
      <c r="U34" s="1"/>
    </row>
    <row r="35" spans="2:21">
      <c r="B35" t="str">
        <f t="shared" si="0"/>
        <v/>
      </c>
      <c r="C35" s="155">
        <f>IF(D11="","-",+C34+1)</f>
        <v>2031</v>
      </c>
      <c r="D35" s="164">
        <f>IF(F34+SUM(E$17:E34)=D$10,F34,D$10-SUM(E$17:E34))</f>
        <v>0</v>
      </c>
      <c r="E35" s="162">
        <f t="shared" si="7"/>
        <v>0</v>
      </c>
      <c r="F35" s="161">
        <f t="shared" si="8"/>
        <v>0</v>
      </c>
      <c r="G35" s="163">
        <f t="shared" si="9"/>
        <v>0</v>
      </c>
      <c r="H35" s="145">
        <f t="shared" si="10"/>
        <v>0</v>
      </c>
      <c r="I35" s="158">
        <f t="shared" si="6"/>
        <v>0</v>
      </c>
      <c r="J35" s="158"/>
      <c r="K35" s="316"/>
      <c r="L35" s="160">
        <f t="shared" si="2"/>
        <v>0</v>
      </c>
      <c r="M35" s="316"/>
      <c r="N35" s="160">
        <f t="shared" si="4"/>
        <v>0</v>
      </c>
      <c r="O35" s="160">
        <f t="shared" si="5"/>
        <v>0</v>
      </c>
      <c r="P35" s="4"/>
      <c r="R35" s="1"/>
      <c r="S35" s="1"/>
      <c r="T35" s="1"/>
      <c r="U35" s="1"/>
    </row>
    <row r="36" spans="2:21">
      <c r="B36" t="str">
        <f t="shared" si="0"/>
        <v/>
      </c>
      <c r="C36" s="155">
        <f>IF(D11="","-",+C35+1)</f>
        <v>2032</v>
      </c>
      <c r="D36" s="164">
        <f>IF(F35+SUM(E$17:E35)=D$10,F35,D$10-SUM(E$17:E35))</f>
        <v>0</v>
      </c>
      <c r="E36" s="162">
        <f t="shared" si="7"/>
        <v>0</v>
      </c>
      <c r="F36" s="161">
        <f t="shared" si="8"/>
        <v>0</v>
      </c>
      <c r="G36" s="163">
        <f t="shared" si="9"/>
        <v>0</v>
      </c>
      <c r="H36" s="145">
        <f t="shared" si="10"/>
        <v>0</v>
      </c>
      <c r="I36" s="158">
        <f t="shared" si="6"/>
        <v>0</v>
      </c>
      <c r="J36" s="158"/>
      <c r="K36" s="316"/>
      <c r="L36" s="160">
        <f t="shared" si="2"/>
        <v>0</v>
      </c>
      <c r="M36" s="316"/>
      <c r="N36" s="160">
        <f t="shared" si="4"/>
        <v>0</v>
      </c>
      <c r="O36" s="160">
        <f t="shared" si="5"/>
        <v>0</v>
      </c>
      <c r="P36" s="4"/>
      <c r="R36" s="1"/>
      <c r="S36" s="1"/>
      <c r="T36" s="1"/>
      <c r="U36" s="1"/>
    </row>
    <row r="37" spans="2:21">
      <c r="B37" t="str">
        <f t="shared" si="0"/>
        <v/>
      </c>
      <c r="C37" s="155">
        <f>IF(D11="","-",+C36+1)</f>
        <v>2033</v>
      </c>
      <c r="D37" s="164">
        <f>IF(F36+SUM(E$17:E36)=D$10,F36,D$10-SUM(E$17:E36))</f>
        <v>0</v>
      </c>
      <c r="E37" s="162">
        <f t="shared" si="7"/>
        <v>0</v>
      </c>
      <c r="F37" s="161">
        <f t="shared" si="8"/>
        <v>0</v>
      </c>
      <c r="G37" s="163">
        <f t="shared" si="9"/>
        <v>0</v>
      </c>
      <c r="H37" s="145">
        <f t="shared" si="10"/>
        <v>0</v>
      </c>
      <c r="I37" s="158">
        <f t="shared" si="6"/>
        <v>0</v>
      </c>
      <c r="J37" s="158"/>
      <c r="K37" s="316"/>
      <c r="L37" s="160">
        <f t="shared" si="2"/>
        <v>0</v>
      </c>
      <c r="M37" s="316"/>
      <c r="N37" s="160">
        <f t="shared" si="4"/>
        <v>0</v>
      </c>
      <c r="O37" s="160">
        <f t="shared" si="5"/>
        <v>0</v>
      </c>
      <c r="P37" s="4"/>
      <c r="R37" s="1"/>
      <c r="S37" s="1"/>
      <c r="T37" s="1"/>
      <c r="U37" s="1"/>
    </row>
    <row r="38" spans="2:21">
      <c r="B38" t="str">
        <f t="shared" si="0"/>
        <v/>
      </c>
      <c r="C38" s="155">
        <f>IF(D11="","-",+C37+1)</f>
        <v>2034</v>
      </c>
      <c r="D38" s="164">
        <f>IF(F37+SUM(E$17:E37)=D$10,F37,D$10-SUM(E$17:E37))</f>
        <v>0</v>
      </c>
      <c r="E38" s="162">
        <f t="shared" si="7"/>
        <v>0</v>
      </c>
      <c r="F38" s="161">
        <f t="shared" si="8"/>
        <v>0</v>
      </c>
      <c r="G38" s="163">
        <f t="shared" si="9"/>
        <v>0</v>
      </c>
      <c r="H38" s="145">
        <f t="shared" si="10"/>
        <v>0</v>
      </c>
      <c r="I38" s="158">
        <f t="shared" si="6"/>
        <v>0</v>
      </c>
      <c r="J38" s="158"/>
      <c r="K38" s="316"/>
      <c r="L38" s="160">
        <f t="shared" si="2"/>
        <v>0</v>
      </c>
      <c r="M38" s="316"/>
      <c r="N38" s="160">
        <f t="shared" si="4"/>
        <v>0</v>
      </c>
      <c r="O38" s="160">
        <f t="shared" si="5"/>
        <v>0</v>
      </c>
      <c r="P38" s="4"/>
      <c r="R38" s="1"/>
      <c r="S38" s="1"/>
      <c r="T38" s="1"/>
      <c r="U38" s="1"/>
    </row>
    <row r="39" spans="2:21">
      <c r="B39" t="str">
        <f t="shared" si="0"/>
        <v/>
      </c>
      <c r="C39" s="155">
        <f>IF(D11="","-",+C38+1)</f>
        <v>2035</v>
      </c>
      <c r="D39" s="164">
        <f>IF(F38+SUM(E$17:E38)=D$10,F38,D$10-SUM(E$17:E38))</f>
        <v>0</v>
      </c>
      <c r="E39" s="162">
        <f t="shared" si="7"/>
        <v>0</v>
      </c>
      <c r="F39" s="161">
        <f t="shared" si="8"/>
        <v>0</v>
      </c>
      <c r="G39" s="163">
        <f t="shared" si="9"/>
        <v>0</v>
      </c>
      <c r="H39" s="145">
        <f t="shared" si="10"/>
        <v>0</v>
      </c>
      <c r="I39" s="158">
        <f t="shared" si="6"/>
        <v>0</v>
      </c>
      <c r="J39" s="158"/>
      <c r="K39" s="316"/>
      <c r="L39" s="160">
        <f t="shared" si="2"/>
        <v>0</v>
      </c>
      <c r="M39" s="316"/>
      <c r="N39" s="160">
        <f t="shared" si="4"/>
        <v>0</v>
      </c>
      <c r="O39" s="160">
        <f t="shared" si="5"/>
        <v>0</v>
      </c>
      <c r="P39" s="4"/>
      <c r="R39" s="1"/>
      <c r="S39" s="1"/>
      <c r="T39" s="1"/>
      <c r="U39" s="1"/>
    </row>
    <row r="40" spans="2:21">
      <c r="B40" t="str">
        <f t="shared" si="0"/>
        <v/>
      </c>
      <c r="C40" s="155">
        <f>IF(D11="","-",+C39+1)</f>
        <v>2036</v>
      </c>
      <c r="D40" s="164">
        <f>IF(F39+SUM(E$17:E39)=D$10,F39,D$10-SUM(E$17:E39))</f>
        <v>0</v>
      </c>
      <c r="E40" s="162">
        <f t="shared" si="7"/>
        <v>0</v>
      </c>
      <c r="F40" s="161">
        <f t="shared" si="8"/>
        <v>0</v>
      </c>
      <c r="G40" s="163">
        <f t="shared" si="9"/>
        <v>0</v>
      </c>
      <c r="H40" s="145">
        <f t="shared" si="10"/>
        <v>0</v>
      </c>
      <c r="I40" s="158">
        <f t="shared" si="6"/>
        <v>0</v>
      </c>
      <c r="J40" s="158"/>
      <c r="K40" s="316"/>
      <c r="L40" s="160">
        <f t="shared" si="2"/>
        <v>0</v>
      </c>
      <c r="M40" s="316"/>
      <c r="N40" s="160">
        <f t="shared" si="4"/>
        <v>0</v>
      </c>
      <c r="O40" s="160">
        <f t="shared" si="5"/>
        <v>0</v>
      </c>
      <c r="P40" s="4"/>
      <c r="R40" s="1"/>
      <c r="S40" s="1"/>
      <c r="T40" s="1"/>
      <c r="U40" s="1"/>
    </row>
    <row r="41" spans="2:21">
      <c r="B41" t="str">
        <f t="shared" si="0"/>
        <v/>
      </c>
      <c r="C41" s="155">
        <f>IF(D12="","-",+C40+1)</f>
        <v>2037</v>
      </c>
      <c r="D41" s="164">
        <f>IF(F40+SUM(E$17:E40)=D$10,F40,D$10-SUM(E$17:E40))</f>
        <v>0</v>
      </c>
      <c r="E41" s="162">
        <f t="shared" si="7"/>
        <v>0</v>
      </c>
      <c r="F41" s="161">
        <f t="shared" si="8"/>
        <v>0</v>
      </c>
      <c r="G41" s="163">
        <f t="shared" si="9"/>
        <v>0</v>
      </c>
      <c r="H41" s="145">
        <f t="shared" si="10"/>
        <v>0</v>
      </c>
      <c r="I41" s="158">
        <f t="shared" si="6"/>
        <v>0</v>
      </c>
      <c r="J41" s="158"/>
      <c r="K41" s="316"/>
      <c r="L41" s="160">
        <f t="shared" si="2"/>
        <v>0</v>
      </c>
      <c r="M41" s="316"/>
      <c r="N41" s="160">
        <f t="shared" si="4"/>
        <v>0</v>
      </c>
      <c r="O41" s="160">
        <f t="shared" si="5"/>
        <v>0</v>
      </c>
      <c r="P41" s="4"/>
      <c r="R41" s="1"/>
      <c r="S41" s="1"/>
      <c r="T41" s="1"/>
      <c r="U41" s="1"/>
    </row>
    <row r="42" spans="2:21">
      <c r="B42" t="str">
        <f t="shared" si="0"/>
        <v/>
      </c>
      <c r="C42" s="155">
        <f>IF(D13="","-",+C41+1)</f>
        <v>2038</v>
      </c>
      <c r="D42" s="164">
        <f>IF(F41+SUM(E$17:E41)=D$10,F41,D$10-SUM(E$17:E41))</f>
        <v>0</v>
      </c>
      <c r="E42" s="162">
        <f t="shared" si="7"/>
        <v>0</v>
      </c>
      <c r="F42" s="161">
        <f t="shared" si="8"/>
        <v>0</v>
      </c>
      <c r="G42" s="163">
        <f t="shared" si="9"/>
        <v>0</v>
      </c>
      <c r="H42" s="145">
        <f t="shared" si="10"/>
        <v>0</v>
      </c>
      <c r="I42" s="158">
        <f t="shared" si="6"/>
        <v>0</v>
      </c>
      <c r="J42" s="158"/>
      <c r="K42" s="316"/>
      <c r="L42" s="160">
        <f t="shared" si="2"/>
        <v>0</v>
      </c>
      <c r="M42" s="316"/>
      <c r="N42" s="160">
        <f t="shared" si="4"/>
        <v>0</v>
      </c>
      <c r="O42" s="160">
        <f t="shared" si="5"/>
        <v>0</v>
      </c>
      <c r="P42" s="4"/>
      <c r="R42" s="1"/>
      <c r="S42" s="1"/>
      <c r="T42" s="1"/>
      <c r="U42" s="1"/>
    </row>
    <row r="43" spans="2:21">
      <c r="B43" t="str">
        <f t="shared" si="0"/>
        <v/>
      </c>
      <c r="C43" s="155">
        <f>IF(D11="","-",+C42+1)</f>
        <v>2039</v>
      </c>
      <c r="D43" s="164">
        <f>IF(F42+SUM(E$17:E42)=D$10,F42,D$10-SUM(E$17:E42))</f>
        <v>0</v>
      </c>
      <c r="E43" s="162">
        <f t="shared" si="7"/>
        <v>0</v>
      </c>
      <c r="F43" s="161">
        <f t="shared" si="8"/>
        <v>0</v>
      </c>
      <c r="G43" s="163">
        <f t="shared" si="9"/>
        <v>0</v>
      </c>
      <c r="H43" s="145">
        <f t="shared" si="10"/>
        <v>0</v>
      </c>
      <c r="I43" s="158">
        <f t="shared" si="6"/>
        <v>0</v>
      </c>
      <c r="J43" s="158"/>
      <c r="K43" s="316"/>
      <c r="L43" s="160">
        <f t="shared" si="2"/>
        <v>0</v>
      </c>
      <c r="M43" s="316"/>
      <c r="N43" s="160">
        <f t="shared" si="4"/>
        <v>0</v>
      </c>
      <c r="O43" s="160">
        <f t="shared" si="5"/>
        <v>0</v>
      </c>
      <c r="P43" s="4"/>
      <c r="R43" s="1"/>
      <c r="S43" s="1"/>
      <c r="T43" s="1"/>
      <c r="U43" s="1"/>
    </row>
    <row r="44" spans="2:21">
      <c r="B44" t="str">
        <f t="shared" si="0"/>
        <v/>
      </c>
      <c r="C44" s="155">
        <f>IF(D11="","-",+C43+1)</f>
        <v>2040</v>
      </c>
      <c r="D44" s="164">
        <f>IF(F43+SUM(E$17:E43)=D$10,F43,D$10-SUM(E$17:E43))</f>
        <v>0</v>
      </c>
      <c r="E44" s="162">
        <f t="shared" si="7"/>
        <v>0</v>
      </c>
      <c r="F44" s="161">
        <f t="shared" si="8"/>
        <v>0</v>
      </c>
      <c r="G44" s="163">
        <f t="shared" si="9"/>
        <v>0</v>
      </c>
      <c r="H44" s="145">
        <f t="shared" si="10"/>
        <v>0</v>
      </c>
      <c r="I44" s="158">
        <f t="shared" si="6"/>
        <v>0</v>
      </c>
      <c r="J44" s="158"/>
      <c r="K44" s="316"/>
      <c r="L44" s="160">
        <f t="shared" si="2"/>
        <v>0</v>
      </c>
      <c r="M44" s="316"/>
      <c r="N44" s="160">
        <f t="shared" si="4"/>
        <v>0</v>
      </c>
      <c r="O44" s="160">
        <f t="shared" si="5"/>
        <v>0</v>
      </c>
      <c r="P44" s="4"/>
      <c r="R44" s="1"/>
      <c r="S44" s="1"/>
      <c r="T44" s="1"/>
      <c r="U44" s="1"/>
    </row>
    <row r="45" spans="2:21">
      <c r="B45" t="str">
        <f t="shared" si="0"/>
        <v/>
      </c>
      <c r="C45" s="155">
        <f>IF(D11="","-",+C44+1)</f>
        <v>2041</v>
      </c>
      <c r="D45" s="164">
        <f>IF(F44+SUM(E$17:E44)=D$10,F44,D$10-SUM(E$17:E44))</f>
        <v>0</v>
      </c>
      <c r="E45" s="162">
        <f t="shared" si="7"/>
        <v>0</v>
      </c>
      <c r="F45" s="161">
        <f t="shared" si="8"/>
        <v>0</v>
      </c>
      <c r="G45" s="163">
        <f t="shared" si="9"/>
        <v>0</v>
      </c>
      <c r="H45" s="145">
        <f t="shared" si="10"/>
        <v>0</v>
      </c>
      <c r="I45" s="158">
        <f t="shared" si="6"/>
        <v>0</v>
      </c>
      <c r="J45" s="158"/>
      <c r="K45" s="316"/>
      <c r="L45" s="160">
        <f t="shared" si="2"/>
        <v>0</v>
      </c>
      <c r="M45" s="316"/>
      <c r="N45" s="160">
        <f t="shared" si="4"/>
        <v>0</v>
      </c>
      <c r="O45" s="160">
        <f t="shared" si="5"/>
        <v>0</v>
      </c>
      <c r="P45" s="4"/>
      <c r="R45" s="1"/>
      <c r="S45" s="1"/>
      <c r="T45" s="1"/>
      <c r="U45" s="1"/>
    </row>
    <row r="46" spans="2:21">
      <c r="B46" t="str">
        <f t="shared" si="0"/>
        <v/>
      </c>
      <c r="C46" s="155">
        <f>IF(D11="","-",+C45+1)</f>
        <v>2042</v>
      </c>
      <c r="D46" s="164">
        <f>IF(F45+SUM(E$17:E45)=D$10,F45,D$10-SUM(E$17:E45))</f>
        <v>0</v>
      </c>
      <c r="E46" s="162">
        <f t="shared" si="7"/>
        <v>0</v>
      </c>
      <c r="F46" s="161">
        <f t="shared" si="8"/>
        <v>0</v>
      </c>
      <c r="G46" s="163">
        <f t="shared" si="9"/>
        <v>0</v>
      </c>
      <c r="H46" s="145">
        <f t="shared" si="10"/>
        <v>0</v>
      </c>
      <c r="I46" s="158">
        <f t="shared" si="6"/>
        <v>0</v>
      </c>
      <c r="J46" s="158"/>
      <c r="K46" s="316"/>
      <c r="L46" s="160">
        <f t="shared" si="2"/>
        <v>0</v>
      </c>
      <c r="M46" s="316"/>
      <c r="N46" s="160">
        <f t="shared" si="4"/>
        <v>0</v>
      </c>
      <c r="O46" s="160">
        <f t="shared" si="5"/>
        <v>0</v>
      </c>
      <c r="P46" s="4"/>
      <c r="R46" s="1"/>
      <c r="S46" s="1"/>
      <c r="T46" s="1"/>
      <c r="U46" s="1"/>
    </row>
    <row r="47" spans="2:21">
      <c r="B47" t="str">
        <f t="shared" si="0"/>
        <v/>
      </c>
      <c r="C47" s="155">
        <f>IF(D11="","-",+C46+1)</f>
        <v>2043</v>
      </c>
      <c r="D47" s="164">
        <f>IF(F46+SUM(E$17:E46)=D$10,F46,D$10-SUM(E$17:E46))</f>
        <v>0</v>
      </c>
      <c r="E47" s="162">
        <f t="shared" si="7"/>
        <v>0</v>
      </c>
      <c r="F47" s="161">
        <f t="shared" si="8"/>
        <v>0</v>
      </c>
      <c r="G47" s="163">
        <f t="shared" si="9"/>
        <v>0</v>
      </c>
      <c r="H47" s="145">
        <f t="shared" si="10"/>
        <v>0</v>
      </c>
      <c r="I47" s="158">
        <f t="shared" si="6"/>
        <v>0</v>
      </c>
      <c r="J47" s="158"/>
      <c r="K47" s="316"/>
      <c r="L47" s="160">
        <f t="shared" si="2"/>
        <v>0</v>
      </c>
      <c r="M47" s="316"/>
      <c r="N47" s="160">
        <f t="shared" si="4"/>
        <v>0</v>
      </c>
      <c r="O47" s="160">
        <f t="shared" si="5"/>
        <v>0</v>
      </c>
      <c r="P47" s="4"/>
      <c r="R47" s="1"/>
      <c r="S47" s="1"/>
      <c r="T47" s="1"/>
      <c r="U47" s="1"/>
    </row>
    <row r="48" spans="2:21">
      <c r="B48" t="str">
        <f t="shared" si="0"/>
        <v/>
      </c>
      <c r="C48" s="155">
        <f>IF(D11="","-",+C47+1)</f>
        <v>2044</v>
      </c>
      <c r="D48" s="164">
        <f>IF(F47+SUM(E$17:E47)=D$10,F47,D$10-SUM(E$17:E47))</f>
        <v>0</v>
      </c>
      <c r="E48" s="162">
        <f t="shared" si="7"/>
        <v>0</v>
      </c>
      <c r="F48" s="161">
        <f t="shared" si="8"/>
        <v>0</v>
      </c>
      <c r="G48" s="163">
        <f t="shared" si="9"/>
        <v>0</v>
      </c>
      <c r="H48" s="145">
        <f t="shared" si="10"/>
        <v>0</v>
      </c>
      <c r="I48" s="158">
        <f t="shared" si="6"/>
        <v>0</v>
      </c>
      <c r="J48" s="158"/>
      <c r="K48" s="316"/>
      <c r="L48" s="160">
        <f t="shared" si="2"/>
        <v>0</v>
      </c>
      <c r="M48" s="316"/>
      <c r="N48" s="160">
        <f t="shared" si="4"/>
        <v>0</v>
      </c>
      <c r="O48" s="160">
        <f t="shared" si="5"/>
        <v>0</v>
      </c>
      <c r="P48" s="4"/>
      <c r="R48" s="1"/>
      <c r="S48" s="1"/>
      <c r="T48" s="1"/>
      <c r="U48" s="1"/>
    </row>
    <row r="49" spans="2:21">
      <c r="B49" t="str">
        <f t="shared" si="0"/>
        <v/>
      </c>
      <c r="C49" s="155">
        <f>IF(D11="","-",+C48+1)</f>
        <v>2045</v>
      </c>
      <c r="D49" s="164">
        <f>IF(F48+SUM(E$17:E48)=D$10,F48,D$10-SUM(E$17:E48))</f>
        <v>0</v>
      </c>
      <c r="E49" s="162">
        <f t="shared" si="7"/>
        <v>0</v>
      </c>
      <c r="F49" s="161">
        <f t="shared" si="8"/>
        <v>0</v>
      </c>
      <c r="G49" s="163">
        <f t="shared" si="9"/>
        <v>0</v>
      </c>
      <c r="H49" s="145">
        <f t="shared" si="10"/>
        <v>0</v>
      </c>
      <c r="I49" s="158">
        <f t="shared" si="6"/>
        <v>0</v>
      </c>
      <c r="J49" s="158"/>
      <c r="K49" s="316"/>
      <c r="L49" s="160">
        <f t="shared" si="2"/>
        <v>0</v>
      </c>
      <c r="M49" s="316"/>
      <c r="N49" s="160">
        <f t="shared" si="4"/>
        <v>0</v>
      </c>
      <c r="O49" s="160">
        <f t="shared" si="5"/>
        <v>0</v>
      </c>
      <c r="P49" s="4"/>
      <c r="R49" s="1"/>
      <c r="S49" s="1"/>
      <c r="T49" s="1"/>
      <c r="U49" s="1"/>
    </row>
    <row r="50" spans="2:21">
      <c r="B50" t="str">
        <f t="shared" si="0"/>
        <v/>
      </c>
      <c r="C50" s="155">
        <f>IF(D11="","-",+C49+1)</f>
        <v>2046</v>
      </c>
      <c r="D50" s="164">
        <f>IF(F49+SUM(E$17:E49)=D$10,F49,D$10-SUM(E$17:E49))</f>
        <v>0</v>
      </c>
      <c r="E50" s="162">
        <f t="shared" si="7"/>
        <v>0</v>
      </c>
      <c r="F50" s="161">
        <f t="shared" si="8"/>
        <v>0</v>
      </c>
      <c r="G50" s="163">
        <f t="shared" si="9"/>
        <v>0</v>
      </c>
      <c r="H50" s="145">
        <f t="shared" si="10"/>
        <v>0</v>
      </c>
      <c r="I50" s="158">
        <f t="shared" si="6"/>
        <v>0</v>
      </c>
      <c r="J50" s="158"/>
      <c r="K50" s="316"/>
      <c r="L50" s="160">
        <f t="shared" si="2"/>
        <v>0</v>
      </c>
      <c r="M50" s="316"/>
      <c r="N50" s="160">
        <f t="shared" si="4"/>
        <v>0</v>
      </c>
      <c r="O50" s="160">
        <f t="shared" si="5"/>
        <v>0</v>
      </c>
      <c r="P50" s="4"/>
      <c r="R50" s="1"/>
      <c r="S50" s="1"/>
      <c r="T50" s="1"/>
      <c r="U50" s="1"/>
    </row>
    <row r="51" spans="2:21">
      <c r="B51" t="str">
        <f t="shared" si="0"/>
        <v/>
      </c>
      <c r="C51" s="155">
        <f>IF(D11="","-",+C50+1)</f>
        <v>2047</v>
      </c>
      <c r="D51" s="164">
        <f>IF(F50+SUM(E$17:E50)=D$10,F50,D$10-SUM(E$17:E50))</f>
        <v>0</v>
      </c>
      <c r="E51" s="162">
        <f t="shared" si="7"/>
        <v>0</v>
      </c>
      <c r="F51" s="161">
        <f t="shared" si="8"/>
        <v>0</v>
      </c>
      <c r="G51" s="163">
        <f t="shared" si="9"/>
        <v>0</v>
      </c>
      <c r="H51" s="145">
        <f t="shared" si="10"/>
        <v>0</v>
      </c>
      <c r="I51" s="158">
        <f t="shared" si="6"/>
        <v>0</v>
      </c>
      <c r="J51" s="158"/>
      <c r="K51" s="316"/>
      <c r="L51" s="160">
        <f t="shared" si="2"/>
        <v>0</v>
      </c>
      <c r="M51" s="316"/>
      <c r="N51" s="160">
        <f t="shared" si="4"/>
        <v>0</v>
      </c>
      <c r="O51" s="160">
        <f t="shared" si="5"/>
        <v>0</v>
      </c>
      <c r="P51" s="4"/>
      <c r="R51" s="1"/>
      <c r="S51" s="1"/>
      <c r="T51" s="1"/>
      <c r="U51" s="1"/>
    </row>
    <row r="52" spans="2:21">
      <c r="B52" t="str">
        <f t="shared" si="0"/>
        <v/>
      </c>
      <c r="C52" s="155">
        <f>IF(D11="","-",+C51+1)</f>
        <v>2048</v>
      </c>
      <c r="D52" s="164">
        <f>IF(F51+SUM(E$17:E51)=D$10,F51,D$10-SUM(E$17:E51))</f>
        <v>0</v>
      </c>
      <c r="E52" s="162">
        <f t="shared" si="7"/>
        <v>0</v>
      </c>
      <c r="F52" s="161">
        <f t="shared" si="8"/>
        <v>0</v>
      </c>
      <c r="G52" s="163">
        <f t="shared" si="9"/>
        <v>0</v>
      </c>
      <c r="H52" s="145">
        <f t="shared" si="10"/>
        <v>0</v>
      </c>
      <c r="I52" s="158">
        <f t="shared" si="6"/>
        <v>0</v>
      </c>
      <c r="J52" s="158"/>
      <c r="K52" s="316"/>
      <c r="L52" s="160">
        <f t="shared" si="2"/>
        <v>0</v>
      </c>
      <c r="M52" s="316"/>
      <c r="N52" s="160">
        <f t="shared" si="4"/>
        <v>0</v>
      </c>
      <c r="O52" s="160">
        <f t="shared" si="5"/>
        <v>0</v>
      </c>
      <c r="P52" s="4"/>
      <c r="R52" s="1"/>
      <c r="S52" s="1"/>
      <c r="T52" s="1"/>
      <c r="U52" s="1"/>
    </row>
    <row r="53" spans="2:21">
      <c r="B53" t="str">
        <f t="shared" si="0"/>
        <v/>
      </c>
      <c r="C53" s="155">
        <f>IF(D11="","-",+C52+1)</f>
        <v>2049</v>
      </c>
      <c r="D53" s="164">
        <f>IF(F52+SUM(E$17:E52)=D$10,F52,D$10-SUM(E$17:E52))</f>
        <v>0</v>
      </c>
      <c r="E53" s="162">
        <f t="shared" si="7"/>
        <v>0</v>
      </c>
      <c r="F53" s="161">
        <f t="shared" si="8"/>
        <v>0</v>
      </c>
      <c r="G53" s="163">
        <f t="shared" si="9"/>
        <v>0</v>
      </c>
      <c r="H53" s="145">
        <f t="shared" si="10"/>
        <v>0</v>
      </c>
      <c r="I53" s="158">
        <f t="shared" si="6"/>
        <v>0</v>
      </c>
      <c r="J53" s="158"/>
      <c r="K53" s="316"/>
      <c r="L53" s="160">
        <f t="shared" si="2"/>
        <v>0</v>
      </c>
      <c r="M53" s="316"/>
      <c r="N53" s="160">
        <f t="shared" si="4"/>
        <v>0</v>
      </c>
      <c r="O53" s="160">
        <f t="shared" si="5"/>
        <v>0</v>
      </c>
      <c r="P53" s="4"/>
      <c r="R53" s="1"/>
      <c r="S53" s="1"/>
      <c r="T53" s="1"/>
      <c r="U53" s="1"/>
    </row>
    <row r="54" spans="2:21">
      <c r="B54" t="str">
        <f t="shared" si="0"/>
        <v/>
      </c>
      <c r="C54" s="155">
        <f>IF(D11="","-",+C53+1)</f>
        <v>2050</v>
      </c>
      <c r="D54" s="164">
        <f>IF(F53+SUM(E$17:E53)=D$10,F53,D$10-SUM(E$17:E53))</f>
        <v>0</v>
      </c>
      <c r="E54" s="162">
        <f t="shared" si="7"/>
        <v>0</v>
      </c>
      <c r="F54" s="161">
        <f t="shared" si="8"/>
        <v>0</v>
      </c>
      <c r="G54" s="163">
        <f t="shared" si="9"/>
        <v>0</v>
      </c>
      <c r="H54" s="145">
        <f t="shared" si="10"/>
        <v>0</v>
      </c>
      <c r="I54" s="158">
        <f t="shared" si="6"/>
        <v>0</v>
      </c>
      <c r="J54" s="158"/>
      <c r="K54" s="316"/>
      <c r="L54" s="160">
        <f t="shared" si="2"/>
        <v>0</v>
      </c>
      <c r="M54" s="316"/>
      <c r="N54" s="160">
        <f t="shared" si="4"/>
        <v>0</v>
      </c>
      <c r="O54" s="160">
        <f t="shared" si="5"/>
        <v>0</v>
      </c>
      <c r="P54" s="4"/>
      <c r="R54" s="1"/>
      <c r="S54" s="1"/>
      <c r="T54" s="1"/>
      <c r="U54" s="1"/>
    </row>
    <row r="55" spans="2:21">
      <c r="B55" t="str">
        <f t="shared" si="0"/>
        <v/>
      </c>
      <c r="C55" s="155">
        <f>IF(D11="","-",+C54+1)</f>
        <v>2051</v>
      </c>
      <c r="D55" s="164">
        <f>IF(F54+SUM(E$17:E54)=D$10,F54,D$10-SUM(E$17:E54))</f>
        <v>0</v>
      </c>
      <c r="E55" s="162">
        <f t="shared" si="7"/>
        <v>0</v>
      </c>
      <c r="F55" s="161">
        <f t="shared" si="8"/>
        <v>0</v>
      </c>
      <c r="G55" s="163">
        <f t="shared" si="9"/>
        <v>0</v>
      </c>
      <c r="H55" s="145">
        <f t="shared" si="10"/>
        <v>0</v>
      </c>
      <c r="I55" s="158">
        <f t="shared" si="6"/>
        <v>0</v>
      </c>
      <c r="J55" s="158"/>
      <c r="K55" s="316"/>
      <c r="L55" s="160">
        <f t="shared" si="2"/>
        <v>0</v>
      </c>
      <c r="M55" s="316"/>
      <c r="N55" s="160">
        <f t="shared" si="4"/>
        <v>0</v>
      </c>
      <c r="O55" s="160">
        <f t="shared" si="5"/>
        <v>0</v>
      </c>
      <c r="P55" s="4"/>
      <c r="R55" s="1"/>
      <c r="S55" s="1"/>
      <c r="T55" s="1"/>
      <c r="U55" s="1"/>
    </row>
    <row r="56" spans="2:21">
      <c r="B56" t="str">
        <f t="shared" si="0"/>
        <v/>
      </c>
      <c r="C56" s="155">
        <f>IF(D11="","-",+C55+1)</f>
        <v>2052</v>
      </c>
      <c r="D56" s="164">
        <f>IF(F55+SUM(E$17:E55)=D$10,F55,D$10-SUM(E$17:E55))</f>
        <v>0</v>
      </c>
      <c r="E56" s="162">
        <f t="shared" si="7"/>
        <v>0</v>
      </c>
      <c r="F56" s="161">
        <f t="shared" si="8"/>
        <v>0</v>
      </c>
      <c r="G56" s="163">
        <f t="shared" si="9"/>
        <v>0</v>
      </c>
      <c r="H56" s="145">
        <f t="shared" si="10"/>
        <v>0</v>
      </c>
      <c r="I56" s="158">
        <f t="shared" si="6"/>
        <v>0</v>
      </c>
      <c r="J56" s="158"/>
      <c r="K56" s="316"/>
      <c r="L56" s="160">
        <f t="shared" si="2"/>
        <v>0</v>
      </c>
      <c r="M56" s="316"/>
      <c r="N56" s="160">
        <f t="shared" si="4"/>
        <v>0</v>
      </c>
      <c r="O56" s="160">
        <f t="shared" si="5"/>
        <v>0</v>
      </c>
      <c r="P56" s="4"/>
      <c r="R56" s="1"/>
      <c r="S56" s="1"/>
      <c r="T56" s="1"/>
      <c r="U56" s="1"/>
    </row>
    <row r="57" spans="2:21">
      <c r="B57" t="str">
        <f t="shared" si="0"/>
        <v/>
      </c>
      <c r="C57" s="155">
        <f>IF(D11="","-",+C56+1)</f>
        <v>2053</v>
      </c>
      <c r="D57" s="164">
        <f>IF(F56+SUM(E$17:E56)=D$10,F56,D$10-SUM(E$17:E56))</f>
        <v>0</v>
      </c>
      <c r="E57" s="162">
        <f t="shared" si="7"/>
        <v>0</v>
      </c>
      <c r="F57" s="161">
        <f t="shared" si="8"/>
        <v>0</v>
      </c>
      <c r="G57" s="163">
        <f t="shared" si="9"/>
        <v>0</v>
      </c>
      <c r="H57" s="145">
        <f t="shared" si="10"/>
        <v>0</v>
      </c>
      <c r="I57" s="158">
        <f t="shared" si="6"/>
        <v>0</v>
      </c>
      <c r="J57" s="158"/>
      <c r="K57" s="316"/>
      <c r="L57" s="160">
        <f t="shared" si="2"/>
        <v>0</v>
      </c>
      <c r="M57" s="316"/>
      <c r="N57" s="160">
        <f t="shared" si="4"/>
        <v>0</v>
      </c>
      <c r="O57" s="160">
        <f t="shared" si="5"/>
        <v>0</v>
      </c>
      <c r="P57" s="4"/>
      <c r="R57" s="1"/>
      <c r="S57" s="1"/>
      <c r="T57" s="1"/>
      <c r="U57" s="1"/>
    </row>
    <row r="58" spans="2:21">
      <c r="B58" t="str">
        <f t="shared" si="0"/>
        <v/>
      </c>
      <c r="C58" s="155">
        <f>IF(D11="","-",+C57+1)</f>
        <v>2054</v>
      </c>
      <c r="D58" s="164">
        <f>IF(F57+SUM(E$17:E57)=D$10,F57,D$10-SUM(E$17:E57))</f>
        <v>0</v>
      </c>
      <c r="E58" s="162">
        <f t="shared" si="7"/>
        <v>0</v>
      </c>
      <c r="F58" s="161">
        <f t="shared" si="8"/>
        <v>0</v>
      </c>
      <c r="G58" s="163">
        <f t="shared" si="9"/>
        <v>0</v>
      </c>
      <c r="H58" s="145">
        <f t="shared" si="10"/>
        <v>0</v>
      </c>
      <c r="I58" s="158">
        <f t="shared" si="6"/>
        <v>0</v>
      </c>
      <c r="J58" s="158"/>
      <c r="K58" s="316"/>
      <c r="L58" s="160">
        <f t="shared" si="2"/>
        <v>0</v>
      </c>
      <c r="M58" s="316"/>
      <c r="N58" s="160">
        <f t="shared" si="4"/>
        <v>0</v>
      </c>
      <c r="O58" s="160">
        <f t="shared" si="5"/>
        <v>0</v>
      </c>
      <c r="P58" s="4"/>
      <c r="R58" s="1"/>
      <c r="S58" s="1"/>
      <c r="T58" s="1"/>
      <c r="U58" s="1"/>
    </row>
    <row r="59" spans="2:21">
      <c r="B59" t="str">
        <f t="shared" si="0"/>
        <v/>
      </c>
      <c r="C59" s="155">
        <f>IF(D11="","-",+C58+1)</f>
        <v>2055</v>
      </c>
      <c r="D59" s="164">
        <f>IF(F58+SUM(E$17:E58)=D$10,F58,D$10-SUM(E$17:E58))</f>
        <v>0</v>
      </c>
      <c r="E59" s="162">
        <f t="shared" si="7"/>
        <v>0</v>
      </c>
      <c r="F59" s="161">
        <f t="shared" si="8"/>
        <v>0</v>
      </c>
      <c r="G59" s="163">
        <f t="shared" si="9"/>
        <v>0</v>
      </c>
      <c r="H59" s="145">
        <f t="shared" si="10"/>
        <v>0</v>
      </c>
      <c r="I59" s="158">
        <f t="shared" si="6"/>
        <v>0</v>
      </c>
      <c r="J59" s="158"/>
      <c r="K59" s="316"/>
      <c r="L59" s="160">
        <f t="shared" si="2"/>
        <v>0</v>
      </c>
      <c r="M59" s="316"/>
      <c r="N59" s="160">
        <f t="shared" si="4"/>
        <v>0</v>
      </c>
      <c r="O59" s="160">
        <f t="shared" si="5"/>
        <v>0</v>
      </c>
      <c r="P59" s="4"/>
      <c r="R59" s="1"/>
      <c r="S59" s="1"/>
      <c r="T59" s="1"/>
      <c r="U59" s="1"/>
    </row>
    <row r="60" spans="2:21">
      <c r="B60" t="str">
        <f t="shared" si="0"/>
        <v/>
      </c>
      <c r="C60" s="155">
        <f>IF(D11="","-",+C59+1)</f>
        <v>2056</v>
      </c>
      <c r="D60" s="164">
        <f>IF(F59+SUM(E$17:E59)=D$10,F59,D$10-SUM(E$17:E59))</f>
        <v>0</v>
      </c>
      <c r="E60" s="162">
        <f t="shared" si="7"/>
        <v>0</v>
      </c>
      <c r="F60" s="161">
        <f t="shared" si="8"/>
        <v>0</v>
      </c>
      <c r="G60" s="163">
        <f t="shared" si="9"/>
        <v>0</v>
      </c>
      <c r="H60" s="145">
        <f t="shared" si="10"/>
        <v>0</v>
      </c>
      <c r="I60" s="158">
        <f t="shared" si="6"/>
        <v>0</v>
      </c>
      <c r="J60" s="158"/>
      <c r="K60" s="316"/>
      <c r="L60" s="160">
        <f t="shared" si="2"/>
        <v>0</v>
      </c>
      <c r="M60" s="316"/>
      <c r="N60" s="160">
        <f t="shared" si="4"/>
        <v>0</v>
      </c>
      <c r="O60" s="160">
        <f t="shared" si="5"/>
        <v>0</v>
      </c>
      <c r="P60" s="4"/>
      <c r="R60" s="1"/>
      <c r="S60" s="1"/>
      <c r="T60" s="1"/>
      <c r="U60" s="1"/>
    </row>
    <row r="61" spans="2:21">
      <c r="B61" t="str">
        <f t="shared" si="0"/>
        <v/>
      </c>
      <c r="C61" s="155">
        <f>IF(D11="","-",+C60+1)</f>
        <v>2057</v>
      </c>
      <c r="D61" s="164">
        <f>IF(F60+SUM(E$17:E60)=D$10,F60,D$10-SUM(E$17:E60))</f>
        <v>0</v>
      </c>
      <c r="E61" s="162">
        <f t="shared" si="7"/>
        <v>0</v>
      </c>
      <c r="F61" s="161">
        <f t="shared" si="8"/>
        <v>0</v>
      </c>
      <c r="G61" s="163">
        <f t="shared" si="9"/>
        <v>0</v>
      </c>
      <c r="H61" s="145">
        <f t="shared" si="10"/>
        <v>0</v>
      </c>
      <c r="I61" s="158">
        <f t="shared" si="6"/>
        <v>0</v>
      </c>
      <c r="J61" s="158"/>
      <c r="K61" s="316"/>
      <c r="L61" s="160">
        <f t="shared" si="2"/>
        <v>0</v>
      </c>
      <c r="M61" s="316"/>
      <c r="N61" s="160">
        <f t="shared" si="4"/>
        <v>0</v>
      </c>
      <c r="O61" s="160">
        <f t="shared" si="5"/>
        <v>0</v>
      </c>
      <c r="P61" s="4"/>
      <c r="R61" s="1"/>
      <c r="S61" s="1"/>
      <c r="T61" s="1"/>
      <c r="U61" s="1"/>
    </row>
    <row r="62" spans="2:21">
      <c r="B62" t="str">
        <f t="shared" si="0"/>
        <v/>
      </c>
      <c r="C62" s="155">
        <f>IF(D11="","-",+C61+1)</f>
        <v>2058</v>
      </c>
      <c r="D62" s="164">
        <f>IF(F61+SUM(E$17:E61)=D$10,F61,D$10-SUM(E$17:E61))</f>
        <v>0</v>
      </c>
      <c r="E62" s="162">
        <f t="shared" si="7"/>
        <v>0</v>
      </c>
      <c r="F62" s="161">
        <f t="shared" si="8"/>
        <v>0</v>
      </c>
      <c r="G62" s="163">
        <f t="shared" si="9"/>
        <v>0</v>
      </c>
      <c r="H62" s="145">
        <f t="shared" si="10"/>
        <v>0</v>
      </c>
      <c r="I62" s="158">
        <f t="shared" si="6"/>
        <v>0</v>
      </c>
      <c r="J62" s="158"/>
      <c r="K62" s="316"/>
      <c r="L62" s="160">
        <f t="shared" si="2"/>
        <v>0</v>
      </c>
      <c r="M62" s="316"/>
      <c r="N62" s="160">
        <f t="shared" si="4"/>
        <v>0</v>
      </c>
      <c r="O62" s="160">
        <f t="shared" si="5"/>
        <v>0</v>
      </c>
      <c r="P62" s="4"/>
      <c r="R62" s="1"/>
      <c r="S62" s="1"/>
      <c r="T62" s="1"/>
      <c r="U62" s="1"/>
    </row>
    <row r="63" spans="2:21">
      <c r="B63" t="str">
        <f t="shared" si="0"/>
        <v/>
      </c>
      <c r="C63" s="155">
        <f>IF(D11="","-",+C62+1)</f>
        <v>2059</v>
      </c>
      <c r="D63" s="164">
        <f>IF(F62+SUM(E$17:E62)=D$10,F62,D$10-SUM(E$17:E62))</f>
        <v>0</v>
      </c>
      <c r="E63" s="162">
        <f t="shared" si="7"/>
        <v>0</v>
      </c>
      <c r="F63" s="161">
        <f t="shared" si="8"/>
        <v>0</v>
      </c>
      <c r="G63" s="163">
        <f t="shared" si="9"/>
        <v>0</v>
      </c>
      <c r="H63" s="145">
        <f t="shared" si="10"/>
        <v>0</v>
      </c>
      <c r="I63" s="158">
        <f t="shared" si="6"/>
        <v>0</v>
      </c>
      <c r="J63" s="158"/>
      <c r="K63" s="316"/>
      <c r="L63" s="160">
        <f t="shared" si="2"/>
        <v>0</v>
      </c>
      <c r="M63" s="316"/>
      <c r="N63" s="160">
        <f t="shared" si="4"/>
        <v>0</v>
      </c>
      <c r="O63" s="160">
        <f t="shared" si="5"/>
        <v>0</v>
      </c>
      <c r="P63" s="4"/>
      <c r="R63" s="1"/>
      <c r="S63" s="1"/>
      <c r="T63" s="1"/>
      <c r="U63" s="1"/>
    </row>
    <row r="64" spans="2:21">
      <c r="B64" t="str">
        <f t="shared" si="0"/>
        <v/>
      </c>
      <c r="C64" s="155">
        <f>IF(D11="","-",+C63+1)</f>
        <v>2060</v>
      </c>
      <c r="D64" s="164">
        <f>IF(F63+SUM(E$17:E63)=D$10,F63,D$10-SUM(E$17:E63))</f>
        <v>0</v>
      </c>
      <c r="E64" s="162">
        <f t="shared" si="7"/>
        <v>0</v>
      </c>
      <c r="F64" s="161">
        <f t="shared" si="8"/>
        <v>0</v>
      </c>
      <c r="G64" s="163">
        <f t="shared" si="9"/>
        <v>0</v>
      </c>
      <c r="H64" s="145">
        <f t="shared" si="10"/>
        <v>0</v>
      </c>
      <c r="I64" s="158">
        <f t="shared" si="6"/>
        <v>0</v>
      </c>
      <c r="J64" s="158"/>
      <c r="K64" s="316"/>
      <c r="L64" s="160">
        <f t="shared" si="2"/>
        <v>0</v>
      </c>
      <c r="M64" s="316"/>
      <c r="N64" s="160">
        <f t="shared" si="4"/>
        <v>0</v>
      </c>
      <c r="O64" s="160">
        <f t="shared" si="5"/>
        <v>0</v>
      </c>
      <c r="P64" s="4"/>
      <c r="R64" s="1"/>
      <c r="S64" s="1"/>
      <c r="T64" s="1"/>
      <c r="U64" s="1"/>
    </row>
    <row r="65" spans="2:21">
      <c r="B65" t="str">
        <f t="shared" si="0"/>
        <v/>
      </c>
      <c r="C65" s="155">
        <f>IF(D11="","-",+C64+1)</f>
        <v>2061</v>
      </c>
      <c r="D65" s="164">
        <f>IF(F64+SUM(E$17:E64)=D$10,F64,D$10-SUM(E$17:E64))</f>
        <v>0</v>
      </c>
      <c r="E65" s="162">
        <f t="shared" si="7"/>
        <v>0</v>
      </c>
      <c r="F65" s="161">
        <f t="shared" si="8"/>
        <v>0</v>
      </c>
      <c r="G65" s="163">
        <f t="shared" si="9"/>
        <v>0</v>
      </c>
      <c r="H65" s="145">
        <f t="shared" si="10"/>
        <v>0</v>
      </c>
      <c r="I65" s="158">
        <f t="shared" si="6"/>
        <v>0</v>
      </c>
      <c r="J65" s="158"/>
      <c r="K65" s="316"/>
      <c r="L65" s="160">
        <f t="shared" si="2"/>
        <v>0</v>
      </c>
      <c r="M65" s="316"/>
      <c r="N65" s="160">
        <f t="shared" si="4"/>
        <v>0</v>
      </c>
      <c r="O65" s="160">
        <f t="shared" si="5"/>
        <v>0</v>
      </c>
      <c r="P65" s="4"/>
      <c r="R65" s="1"/>
      <c r="S65" s="1"/>
      <c r="T65" s="1"/>
      <c r="U65" s="1"/>
    </row>
    <row r="66" spans="2:21">
      <c r="B66" t="str">
        <f t="shared" si="0"/>
        <v/>
      </c>
      <c r="C66" s="155">
        <f>IF(D11="","-",+C65+1)</f>
        <v>2062</v>
      </c>
      <c r="D66" s="164">
        <f>IF(F65+SUM(E$17:E65)=D$10,F65,D$10-SUM(E$17:E65))</f>
        <v>0</v>
      </c>
      <c r="E66" s="162">
        <f t="shared" si="7"/>
        <v>0</v>
      </c>
      <c r="F66" s="161">
        <f t="shared" si="8"/>
        <v>0</v>
      </c>
      <c r="G66" s="163">
        <f t="shared" si="9"/>
        <v>0</v>
      </c>
      <c r="H66" s="145">
        <f t="shared" si="10"/>
        <v>0</v>
      </c>
      <c r="I66" s="158">
        <f t="shared" si="6"/>
        <v>0</v>
      </c>
      <c r="J66" s="158"/>
      <c r="K66" s="316"/>
      <c r="L66" s="160">
        <f t="shared" si="2"/>
        <v>0</v>
      </c>
      <c r="M66" s="316"/>
      <c r="N66" s="160">
        <f t="shared" si="4"/>
        <v>0</v>
      </c>
      <c r="O66" s="160">
        <f t="shared" si="5"/>
        <v>0</v>
      </c>
      <c r="P66" s="4"/>
      <c r="R66" s="1"/>
      <c r="S66" s="1"/>
      <c r="T66" s="1"/>
      <c r="U66" s="1"/>
    </row>
    <row r="67" spans="2:21">
      <c r="B67" t="str">
        <f t="shared" si="0"/>
        <v/>
      </c>
      <c r="C67" s="155">
        <f>IF(D11="","-",+C66+1)</f>
        <v>2063</v>
      </c>
      <c r="D67" s="164">
        <f>IF(F66+SUM(E$17:E66)=D$10,F66,D$10-SUM(E$17:E66))</f>
        <v>0</v>
      </c>
      <c r="E67" s="162">
        <f t="shared" si="7"/>
        <v>0</v>
      </c>
      <c r="F67" s="161">
        <f t="shared" si="8"/>
        <v>0</v>
      </c>
      <c r="G67" s="163">
        <f t="shared" si="9"/>
        <v>0</v>
      </c>
      <c r="H67" s="145">
        <f t="shared" si="10"/>
        <v>0</v>
      </c>
      <c r="I67" s="158">
        <f t="shared" si="6"/>
        <v>0</v>
      </c>
      <c r="J67" s="158"/>
      <c r="K67" s="316"/>
      <c r="L67" s="160">
        <f t="shared" si="2"/>
        <v>0</v>
      </c>
      <c r="M67" s="316"/>
      <c r="N67" s="160">
        <f t="shared" si="4"/>
        <v>0</v>
      </c>
      <c r="O67" s="160">
        <f t="shared" si="5"/>
        <v>0</v>
      </c>
      <c r="P67" s="4"/>
      <c r="R67" s="1"/>
      <c r="S67" s="1"/>
      <c r="T67" s="1"/>
      <c r="U67" s="1"/>
    </row>
    <row r="68" spans="2:21">
      <c r="B68" t="str">
        <f t="shared" si="0"/>
        <v/>
      </c>
      <c r="C68" s="155">
        <f>IF(D11="","-",+C67+1)</f>
        <v>2064</v>
      </c>
      <c r="D68" s="164">
        <f>IF(F67+SUM(E$17:E67)=D$10,F67,D$10-SUM(E$17:E67))</f>
        <v>0</v>
      </c>
      <c r="E68" s="162">
        <f t="shared" si="7"/>
        <v>0</v>
      </c>
      <c r="F68" s="161">
        <f t="shared" si="8"/>
        <v>0</v>
      </c>
      <c r="G68" s="163">
        <f t="shared" si="9"/>
        <v>0</v>
      </c>
      <c r="H68" s="145">
        <f t="shared" si="10"/>
        <v>0</v>
      </c>
      <c r="I68" s="158">
        <f t="shared" si="6"/>
        <v>0</v>
      </c>
      <c r="J68" s="158"/>
      <c r="K68" s="316"/>
      <c r="L68" s="160">
        <f t="shared" si="2"/>
        <v>0</v>
      </c>
      <c r="M68" s="316"/>
      <c r="N68" s="160">
        <f t="shared" si="4"/>
        <v>0</v>
      </c>
      <c r="O68" s="160">
        <f t="shared" si="5"/>
        <v>0</v>
      </c>
      <c r="P68" s="4"/>
      <c r="R68" s="1"/>
      <c r="S68" s="1"/>
      <c r="T68" s="1"/>
      <c r="U68" s="1"/>
    </row>
    <row r="69" spans="2:21">
      <c r="B69" t="str">
        <f t="shared" si="0"/>
        <v/>
      </c>
      <c r="C69" s="155">
        <f>IF(D11="","-",+C68+1)</f>
        <v>2065</v>
      </c>
      <c r="D69" s="164">
        <f>IF(F68+SUM(E$17:E68)=D$10,F68,D$10-SUM(E$17:E68))</f>
        <v>0</v>
      </c>
      <c r="E69" s="162">
        <f t="shared" si="7"/>
        <v>0</v>
      </c>
      <c r="F69" s="161">
        <f t="shared" si="8"/>
        <v>0</v>
      </c>
      <c r="G69" s="163">
        <f t="shared" si="9"/>
        <v>0</v>
      </c>
      <c r="H69" s="145">
        <f t="shared" si="10"/>
        <v>0</v>
      </c>
      <c r="I69" s="158">
        <f t="shared" si="6"/>
        <v>0</v>
      </c>
      <c r="J69" s="158"/>
      <c r="K69" s="316"/>
      <c r="L69" s="160">
        <f t="shared" si="2"/>
        <v>0</v>
      </c>
      <c r="M69" s="316"/>
      <c r="N69" s="160">
        <f t="shared" si="4"/>
        <v>0</v>
      </c>
      <c r="O69" s="160">
        <f t="shared" si="5"/>
        <v>0</v>
      </c>
      <c r="P69" s="4"/>
      <c r="R69" s="1"/>
      <c r="S69" s="1"/>
      <c r="T69" s="1"/>
      <c r="U69" s="1"/>
    </row>
    <row r="70" spans="2:21">
      <c r="B70" t="str">
        <f t="shared" si="0"/>
        <v/>
      </c>
      <c r="C70" s="155">
        <f>IF(D11="","-",+C69+1)</f>
        <v>2066</v>
      </c>
      <c r="D70" s="164">
        <f>IF(F69+SUM(E$17:E69)=D$10,F69,D$10-SUM(E$17:E69))</f>
        <v>0</v>
      </c>
      <c r="E70" s="162">
        <f t="shared" si="7"/>
        <v>0</v>
      </c>
      <c r="F70" s="161">
        <f t="shared" si="8"/>
        <v>0</v>
      </c>
      <c r="G70" s="163">
        <f t="shared" si="9"/>
        <v>0</v>
      </c>
      <c r="H70" s="145">
        <f t="shared" si="10"/>
        <v>0</v>
      </c>
      <c r="I70" s="158">
        <f t="shared" si="6"/>
        <v>0</v>
      </c>
      <c r="J70" s="158"/>
      <c r="K70" s="316"/>
      <c r="L70" s="160">
        <f t="shared" si="2"/>
        <v>0</v>
      </c>
      <c r="M70" s="316"/>
      <c r="N70" s="160">
        <f t="shared" si="4"/>
        <v>0</v>
      </c>
      <c r="O70" s="160">
        <f t="shared" si="5"/>
        <v>0</v>
      </c>
      <c r="P70" s="4"/>
      <c r="R70" s="1"/>
      <c r="S70" s="1"/>
      <c r="T70" s="1"/>
      <c r="U70" s="1"/>
    </row>
    <row r="71" spans="2:21">
      <c r="B71" t="str">
        <f t="shared" si="0"/>
        <v/>
      </c>
      <c r="C71" s="155">
        <f>IF(D11="","-",+C70+1)</f>
        <v>2067</v>
      </c>
      <c r="D71" s="164">
        <f>IF(F70+SUM(E$17:E70)=D$10,F70,D$10-SUM(E$17:E70))</f>
        <v>0</v>
      </c>
      <c r="E71" s="162">
        <f t="shared" si="7"/>
        <v>0</v>
      </c>
      <c r="F71" s="161">
        <f t="shared" si="8"/>
        <v>0</v>
      </c>
      <c r="G71" s="163">
        <f t="shared" si="9"/>
        <v>0</v>
      </c>
      <c r="H71" s="145">
        <f t="shared" si="10"/>
        <v>0</v>
      </c>
      <c r="I71" s="158">
        <f t="shared" si="6"/>
        <v>0</v>
      </c>
      <c r="J71" s="158"/>
      <c r="K71" s="316"/>
      <c r="L71" s="160">
        <f t="shared" si="2"/>
        <v>0</v>
      </c>
      <c r="M71" s="316"/>
      <c r="N71" s="160">
        <f t="shared" si="4"/>
        <v>0</v>
      </c>
      <c r="O71" s="160">
        <f t="shared" si="5"/>
        <v>0</v>
      </c>
      <c r="P71" s="4"/>
      <c r="R71" s="1"/>
      <c r="S71" s="1"/>
      <c r="T71" s="1"/>
      <c r="U71" s="1"/>
    </row>
    <row r="72" spans="2:21">
      <c r="B72" t="str">
        <f t="shared" si="0"/>
        <v/>
      </c>
      <c r="C72" s="155">
        <f>IF(D11="","-",+C71+1)</f>
        <v>2068</v>
      </c>
      <c r="D72" s="164">
        <f>IF(F71+SUM(E$17:E71)=D$10,F71,D$10-SUM(E$17:E71))</f>
        <v>0</v>
      </c>
      <c r="E72" s="162">
        <f t="shared" si="7"/>
        <v>0</v>
      </c>
      <c r="F72" s="161">
        <f t="shared" si="8"/>
        <v>0</v>
      </c>
      <c r="G72" s="163">
        <f t="shared" si="9"/>
        <v>0</v>
      </c>
      <c r="H72" s="145">
        <f t="shared" si="10"/>
        <v>0</v>
      </c>
      <c r="I72" s="158">
        <f t="shared" si="6"/>
        <v>0</v>
      </c>
      <c r="J72" s="158"/>
      <c r="K72" s="316"/>
      <c r="L72" s="160">
        <f t="shared" si="2"/>
        <v>0</v>
      </c>
      <c r="M72" s="316"/>
      <c r="N72" s="160">
        <f t="shared" si="4"/>
        <v>0</v>
      </c>
      <c r="O72" s="160">
        <f t="shared" si="5"/>
        <v>0</v>
      </c>
      <c r="P72" s="4"/>
      <c r="R72" s="1"/>
      <c r="S72" s="1"/>
      <c r="T72" s="1"/>
      <c r="U72" s="1"/>
    </row>
    <row r="73" spans="2:21" ht="13.5" thickBot="1">
      <c r="B73" t="str">
        <f t="shared" si="0"/>
        <v/>
      </c>
      <c r="C73" s="166">
        <f>IF(D11="","-",+C72+1)</f>
        <v>2069</v>
      </c>
      <c r="D73" s="349">
        <f>IF(F72+SUM(E$17:E72)=D$10,F72,D$10-SUM(E$17:E72))</f>
        <v>0</v>
      </c>
      <c r="E73" s="168">
        <f t="shared" si="7"/>
        <v>0</v>
      </c>
      <c r="F73" s="167">
        <f t="shared" si="8"/>
        <v>0</v>
      </c>
      <c r="G73" s="167">
        <f t="shared" si="9"/>
        <v>0</v>
      </c>
      <c r="H73" s="167">
        <f t="shared" si="10"/>
        <v>0</v>
      </c>
      <c r="I73" s="170">
        <f t="shared" si="6"/>
        <v>0</v>
      </c>
      <c r="J73" s="158"/>
      <c r="K73" s="317"/>
      <c r="L73" s="171">
        <f t="shared" si="2"/>
        <v>0</v>
      </c>
      <c r="M73" s="317"/>
      <c r="N73" s="171">
        <f t="shared" si="4"/>
        <v>0</v>
      </c>
      <c r="O73" s="171">
        <f t="shared" si="5"/>
        <v>0</v>
      </c>
      <c r="P73" s="4"/>
      <c r="R73" s="1"/>
      <c r="S73" s="1"/>
      <c r="T73" s="1"/>
      <c r="U73" s="1"/>
    </row>
    <row r="74" spans="2:21">
      <c r="C74" s="156" t="s">
        <v>75</v>
      </c>
      <c r="D74" s="112"/>
      <c r="E74" s="112">
        <f>SUM(E17:E73)</f>
        <v>4817114</v>
      </c>
      <c r="F74" s="112"/>
      <c r="G74" s="112">
        <f>SUM(G17:G73)</f>
        <v>6950178.0467930911</v>
      </c>
      <c r="H74" s="112">
        <f>SUM(H17:H73)</f>
        <v>6950178.0467930911</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13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0</v>
      </c>
      <c r="N88" s="198">
        <f>IF(J93&lt;D11,0,VLOOKUP(J93,C17:O73,11))</f>
        <v>0</v>
      </c>
      <c r="O88" s="199">
        <f>+N88-M88</f>
        <v>0</v>
      </c>
      <c r="P88" s="1"/>
      <c r="Q88" s="1"/>
      <c r="R88" s="1"/>
      <c r="S88" s="1"/>
      <c r="T88" s="1"/>
      <c r="U88" s="1"/>
    </row>
    <row r="89" spans="1:21" ht="15.75">
      <c r="C89" s="469" t="s">
        <v>267</v>
      </c>
      <c r="D89" s="2"/>
      <c r="E89" s="1"/>
      <c r="F89" s="1"/>
      <c r="G89" s="1"/>
      <c r="H89" s="1"/>
      <c r="I89" s="119"/>
      <c r="J89" s="119"/>
      <c r="K89" s="254"/>
      <c r="L89" s="255" t="s">
        <v>254</v>
      </c>
      <c r="M89" s="200">
        <f>IF(J93&lt;D11,0,VLOOKUP(J93,C100:P155,6))</f>
        <v>603616.92453524831</v>
      </c>
      <c r="N89" s="200">
        <f>IF(J93&lt;D11,0,VLOOKUP(J93,C100:P155,7))</f>
        <v>603616.92453524831</v>
      </c>
      <c r="O89" s="201">
        <f>+N89-M89</f>
        <v>0</v>
      </c>
      <c r="P89" s="1"/>
      <c r="Q89" s="1"/>
      <c r="R89" s="1"/>
      <c r="S89" s="1"/>
      <c r="T89" s="1"/>
      <c r="U89" s="1"/>
    </row>
    <row r="90" spans="1:21" ht="13.5" thickBot="1">
      <c r="C90" s="124" t="s">
        <v>82</v>
      </c>
      <c r="D90" s="243" t="str">
        <f>+D7</f>
        <v>Ellis 138 kV</v>
      </c>
      <c r="E90" s="1"/>
      <c r="F90" s="1"/>
      <c r="G90" s="1"/>
      <c r="H90" s="1"/>
      <c r="I90" s="3"/>
      <c r="J90" s="3"/>
      <c r="K90" s="256"/>
      <c r="L90" s="257" t="s">
        <v>135</v>
      </c>
      <c r="M90" s="203">
        <f>+M89-M88</f>
        <v>603616.92453524831</v>
      </c>
      <c r="N90" s="203">
        <f>+N89-N88</f>
        <v>603616.92453524831</v>
      </c>
      <c r="O90" s="204">
        <f>+O89-O88</f>
        <v>0</v>
      </c>
      <c r="P90" s="1"/>
      <c r="Q90" s="1"/>
      <c r="R90" s="1"/>
      <c r="S90" s="1"/>
      <c r="T90" s="1"/>
      <c r="U90" s="1"/>
    </row>
    <row r="91" spans="1:21" ht="13.5" thickBot="1">
      <c r="C91" s="172"/>
      <c r="D91" s="384" t="str">
        <f>IF(D8="","",D8)</f>
        <v>***Sch. 11 recovery commenced in 2015 rate year***</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TP2012055</v>
      </c>
      <c r="E92" s="206"/>
      <c r="F92" s="206"/>
      <c r="G92" s="206"/>
      <c r="H92" s="206"/>
      <c r="I92" s="206"/>
      <c r="J92" s="206"/>
      <c r="K92" s="207"/>
      <c r="P92" s="134"/>
      <c r="Q92" s="1"/>
      <c r="R92" s="1"/>
      <c r="S92" s="1"/>
      <c r="T92" s="1"/>
      <c r="U92" s="1"/>
    </row>
    <row r="93" spans="1:21">
      <c r="C93" s="139" t="s">
        <v>49</v>
      </c>
      <c r="D93" s="136">
        <v>4817114</v>
      </c>
      <c r="E93" s="23" t="s">
        <v>84</v>
      </c>
      <c r="H93" s="137"/>
      <c r="I93" s="137"/>
      <c r="J93" s="138">
        <f>+'OKT.WS.G.BPU.ATRR.True-up'!M16</f>
        <v>2018</v>
      </c>
      <c r="K93" s="133"/>
      <c r="L93" s="112" t="s">
        <v>85</v>
      </c>
      <c r="P93" s="4"/>
      <c r="Q93" s="1"/>
      <c r="R93" s="1"/>
      <c r="S93" s="1"/>
      <c r="T93" s="1"/>
      <c r="U93" s="1"/>
    </row>
    <row r="94" spans="1:21">
      <c r="C94" s="139" t="s">
        <v>52</v>
      </c>
      <c r="D94" s="218">
        <f>D11</f>
        <v>2013</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D12</f>
        <v>10</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133808.72222222222</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C100" s="155">
        <f>IF(D94= "","-",D94)</f>
        <v>2013</v>
      </c>
      <c r="D100" s="156"/>
      <c r="E100" s="163"/>
      <c r="F100" s="161"/>
      <c r="G100" s="213"/>
      <c r="H100" s="213"/>
      <c r="I100" s="213"/>
      <c r="J100" s="160"/>
      <c r="K100" s="160"/>
      <c r="L100" s="318"/>
      <c r="M100" s="340">
        <f t="shared" ref="M100:M131" si="11">IF(L100&lt;&gt;0,+H100-L100,0)</f>
        <v>0</v>
      </c>
      <c r="N100" s="318"/>
      <c r="O100" s="159">
        <f t="shared" ref="O100:O131" si="12">IF(N100&lt;&gt;0,+I100-N100,0)</f>
        <v>0</v>
      </c>
      <c r="P100" s="159">
        <f t="shared" ref="P100:P131" si="13">+O100-M100</f>
        <v>0</v>
      </c>
      <c r="Q100" s="1"/>
      <c r="R100" s="1"/>
      <c r="S100" s="1"/>
      <c r="T100" s="1"/>
      <c r="U100" s="1"/>
    </row>
    <row r="101" spans="1:21">
      <c r="C101" s="155">
        <f>IF(D94="","-",+C100+1)</f>
        <v>2014</v>
      </c>
      <c r="D101" s="156"/>
      <c r="E101" s="162"/>
      <c r="F101" s="161"/>
      <c r="G101" s="161"/>
      <c r="H101" s="314"/>
      <c r="I101" s="323"/>
      <c r="J101" s="160"/>
      <c r="K101" s="160"/>
      <c r="L101" s="344"/>
      <c r="M101" s="345">
        <f t="shared" si="11"/>
        <v>0</v>
      </c>
      <c r="N101" s="344"/>
      <c r="O101" s="160">
        <f t="shared" si="12"/>
        <v>0</v>
      </c>
      <c r="P101" s="160">
        <f t="shared" si="13"/>
        <v>0</v>
      </c>
      <c r="Q101" s="1"/>
      <c r="R101" s="1"/>
      <c r="S101" s="1"/>
      <c r="T101" s="1"/>
      <c r="U101" s="1"/>
    </row>
    <row r="102" spans="1:21">
      <c r="B102" t="str">
        <f t="shared" ref="B102:B155" si="14">IF(D102=F101,"","IU")</f>
        <v>IU</v>
      </c>
      <c r="C102" s="155">
        <f>IF(D94="","-",+C101+1)</f>
        <v>2015</v>
      </c>
      <c r="D102" s="373">
        <v>4004216.6870407565</v>
      </c>
      <c r="E102" s="375">
        <v>85139.5</v>
      </c>
      <c r="F102" s="377">
        <v>3919077.1870407565</v>
      </c>
      <c r="G102" s="377">
        <v>3961646.9370407565</v>
      </c>
      <c r="H102" s="375">
        <v>526187.38978732098</v>
      </c>
      <c r="I102" s="376">
        <v>526187.38978732098</v>
      </c>
      <c r="J102" s="160">
        <v>0</v>
      </c>
      <c r="K102" s="160"/>
      <c r="L102" s="344">
        <f>H102</f>
        <v>526187.38978732098</v>
      </c>
      <c r="M102" s="160">
        <f>IF(L102&lt;&gt;0,+H102-L102,0)</f>
        <v>0</v>
      </c>
      <c r="N102" s="344">
        <f>I102</f>
        <v>526187.38978732098</v>
      </c>
      <c r="O102" s="160">
        <f t="shared" si="12"/>
        <v>0</v>
      </c>
      <c r="P102" s="160">
        <f t="shared" si="13"/>
        <v>0</v>
      </c>
      <c r="Q102" s="1"/>
      <c r="R102" s="1"/>
      <c r="S102" s="1"/>
      <c r="T102" s="1"/>
      <c r="U102" s="1"/>
    </row>
    <row r="103" spans="1:21">
      <c r="B103" t="str">
        <f t="shared" si="14"/>
        <v>IU</v>
      </c>
      <c r="C103" s="155">
        <f>IF(D94="","-",+C102+1)</f>
        <v>2016</v>
      </c>
      <c r="D103" s="373">
        <v>4714898.5</v>
      </c>
      <c r="E103" s="375">
        <v>94118.392156862741</v>
      </c>
      <c r="F103" s="377">
        <v>4620780.1078431373</v>
      </c>
      <c r="G103" s="377">
        <v>4667839.3039215691</v>
      </c>
      <c r="H103" s="375">
        <v>599969.61415819218</v>
      </c>
      <c r="I103" s="376">
        <v>599969.61415819218</v>
      </c>
      <c r="J103" s="160">
        <f>+I103-H103</f>
        <v>0</v>
      </c>
      <c r="K103" s="160"/>
      <c r="L103" s="344">
        <f>H103</f>
        <v>599969.61415819218</v>
      </c>
      <c r="M103" s="160">
        <f>IF(L103&lt;&gt;0,+H103-L103,0)</f>
        <v>0</v>
      </c>
      <c r="N103" s="344">
        <f>I103</f>
        <v>599969.61415819218</v>
      </c>
      <c r="O103" s="160">
        <f>IF(N103&lt;&gt;0,+I103-N103,0)</f>
        <v>0</v>
      </c>
      <c r="P103" s="160">
        <f>+O103-M103</f>
        <v>0</v>
      </c>
      <c r="Q103" s="1"/>
      <c r="R103" s="1"/>
      <c r="S103" s="1"/>
      <c r="T103" s="1"/>
      <c r="U103" s="1"/>
    </row>
    <row r="104" spans="1:21">
      <c r="B104" t="str">
        <f t="shared" si="14"/>
        <v>IU</v>
      </c>
      <c r="C104" s="155">
        <f>IF(D94="","-",+C103+1)</f>
        <v>2017</v>
      </c>
      <c r="D104" s="373">
        <v>4637856.1078431373</v>
      </c>
      <c r="E104" s="375">
        <v>120427.85</v>
      </c>
      <c r="F104" s="377">
        <v>4517428.2578431377</v>
      </c>
      <c r="G104" s="377">
        <v>4577642.1828431375</v>
      </c>
      <c r="H104" s="375">
        <v>657549.4515750818</v>
      </c>
      <c r="I104" s="376">
        <v>657549.4515750818</v>
      </c>
      <c r="J104" s="160">
        <v>0</v>
      </c>
      <c r="K104" s="160"/>
      <c r="L104" s="344">
        <f>H104</f>
        <v>657549.4515750818</v>
      </c>
      <c r="M104" s="160">
        <f>IF(L104&lt;&gt;0,+H104-L104,0)</f>
        <v>0</v>
      </c>
      <c r="N104" s="344">
        <f>I104</f>
        <v>657549.4515750818</v>
      </c>
      <c r="O104" s="160">
        <f>IF(N104&lt;&gt;0,+I104-N104,0)</f>
        <v>0</v>
      </c>
      <c r="P104" s="160">
        <f>+O104-M104</f>
        <v>0</v>
      </c>
      <c r="Q104" s="1"/>
      <c r="R104" s="1"/>
      <c r="S104" s="1"/>
      <c r="T104" s="1"/>
      <c r="U104" s="1"/>
    </row>
    <row r="105" spans="1:21">
      <c r="B105" t="str">
        <f t="shared" si="14"/>
        <v/>
      </c>
      <c r="C105" s="155">
        <f>IF(D94="","-",+C104+1)</f>
        <v>2018</v>
      </c>
      <c r="D105" s="156">
        <f>IF(F104+SUM(E$100:E104)=D$93,F104,D$93-SUM(E$100:E104))</f>
        <v>4517428.2578431377</v>
      </c>
      <c r="E105" s="402">
        <f t="shared" ref="E105:E155" si="15">IF(+$J$97&lt;F104,$J$97,D105)</f>
        <v>133808.72222222222</v>
      </c>
      <c r="F105" s="161">
        <f t="shared" ref="F105:F155" si="16">+D105-E105</f>
        <v>4383619.5356209157</v>
      </c>
      <c r="G105" s="161">
        <f t="shared" ref="G105:G155" si="17">+(F105+D105)/2</f>
        <v>4450523.8967320267</v>
      </c>
      <c r="H105" s="403">
        <f t="shared" ref="H105:H155" si="18">+J$95*G105+E105</f>
        <v>603616.92453524831</v>
      </c>
      <c r="I105" s="404">
        <f t="shared" ref="I105:I155" si="19">+J$96*G105+E105</f>
        <v>603616.92453524831</v>
      </c>
      <c r="J105" s="160">
        <f t="shared" ref="J105:J155" si="20">+I105-H105</f>
        <v>0</v>
      </c>
      <c r="K105" s="160"/>
      <c r="L105" s="316"/>
      <c r="M105" s="160">
        <f t="shared" si="11"/>
        <v>0</v>
      </c>
      <c r="N105" s="316"/>
      <c r="O105" s="160">
        <f t="shared" si="12"/>
        <v>0</v>
      </c>
      <c r="P105" s="160">
        <f t="shared" si="13"/>
        <v>0</v>
      </c>
      <c r="Q105" s="1"/>
      <c r="R105" s="1"/>
      <c r="S105" s="1"/>
      <c r="T105" s="1"/>
      <c r="U105" s="1"/>
    </row>
    <row r="106" spans="1:21">
      <c r="B106" t="str">
        <f t="shared" si="14"/>
        <v/>
      </c>
      <c r="C106" s="155">
        <f>IF(D94="","-",+C105+1)</f>
        <v>2019</v>
      </c>
      <c r="D106" s="156">
        <f>IF(F105+SUM(E$100:E105)=D$93,F105,D$93-SUM(E$100:E105))</f>
        <v>4383619.5356209157</v>
      </c>
      <c r="E106" s="402">
        <f t="shared" si="15"/>
        <v>133808.72222222222</v>
      </c>
      <c r="F106" s="161">
        <f t="shared" si="16"/>
        <v>4249810.8133986937</v>
      </c>
      <c r="G106" s="161">
        <f t="shared" si="17"/>
        <v>4316715.1745098047</v>
      </c>
      <c r="H106" s="403">
        <f t="shared" si="18"/>
        <v>589491.74810665171</v>
      </c>
      <c r="I106" s="404">
        <f t="shared" si="19"/>
        <v>589491.74810665171</v>
      </c>
      <c r="J106" s="160">
        <f t="shared" si="20"/>
        <v>0</v>
      </c>
      <c r="K106" s="160"/>
      <c r="L106" s="316"/>
      <c r="M106" s="160">
        <f t="shared" si="11"/>
        <v>0</v>
      </c>
      <c r="N106" s="316"/>
      <c r="O106" s="160">
        <f t="shared" si="12"/>
        <v>0</v>
      </c>
      <c r="P106" s="160">
        <f t="shared" si="13"/>
        <v>0</v>
      </c>
      <c r="Q106" s="1"/>
      <c r="R106" s="1"/>
      <c r="S106" s="1"/>
      <c r="T106" s="1"/>
      <c r="U106" s="1"/>
    </row>
    <row r="107" spans="1:21">
      <c r="B107" t="str">
        <f t="shared" si="14"/>
        <v/>
      </c>
      <c r="C107" s="155">
        <f>IF(D94="","-",+C106+1)</f>
        <v>2020</v>
      </c>
      <c r="D107" s="156">
        <f>IF(F106+SUM(E$100:E106)=D$93,F106,D$93-SUM(E$100:E106))</f>
        <v>4249810.8133986937</v>
      </c>
      <c r="E107" s="402">
        <f t="shared" si="15"/>
        <v>133808.72222222222</v>
      </c>
      <c r="F107" s="161">
        <f t="shared" si="16"/>
        <v>4116002.0911764717</v>
      </c>
      <c r="G107" s="161">
        <f t="shared" si="17"/>
        <v>4182906.4522875827</v>
      </c>
      <c r="H107" s="403">
        <f t="shared" si="18"/>
        <v>575366.5716780551</v>
      </c>
      <c r="I107" s="404">
        <f t="shared" si="19"/>
        <v>575366.5716780551</v>
      </c>
      <c r="J107" s="160">
        <f t="shared" si="20"/>
        <v>0</v>
      </c>
      <c r="K107" s="160"/>
      <c r="L107" s="316"/>
      <c r="M107" s="160">
        <f t="shared" si="11"/>
        <v>0</v>
      </c>
      <c r="N107" s="316"/>
      <c r="O107" s="160">
        <f t="shared" si="12"/>
        <v>0</v>
      </c>
      <c r="P107" s="160">
        <f t="shared" si="13"/>
        <v>0</v>
      </c>
      <c r="Q107" s="1"/>
      <c r="R107" s="1"/>
      <c r="S107" s="1"/>
      <c r="T107" s="1"/>
      <c r="U107" s="1"/>
    </row>
    <row r="108" spans="1:21">
      <c r="B108" t="str">
        <f t="shared" si="14"/>
        <v/>
      </c>
      <c r="C108" s="155">
        <f>IF(D94="","-",+C107+1)</f>
        <v>2021</v>
      </c>
      <c r="D108" s="156">
        <f>IF(F107+SUM(E$100:E107)=D$93,F107,D$93-SUM(E$100:E107))</f>
        <v>4116002.0911764717</v>
      </c>
      <c r="E108" s="402">
        <f t="shared" si="15"/>
        <v>133808.72222222222</v>
      </c>
      <c r="F108" s="161">
        <f t="shared" si="16"/>
        <v>3982193.3689542497</v>
      </c>
      <c r="G108" s="161">
        <f t="shared" si="17"/>
        <v>4049097.7300653607</v>
      </c>
      <c r="H108" s="403">
        <f t="shared" si="18"/>
        <v>561241.3952494585</v>
      </c>
      <c r="I108" s="404">
        <f t="shared" si="19"/>
        <v>561241.3952494585</v>
      </c>
      <c r="J108" s="160">
        <f t="shared" si="20"/>
        <v>0</v>
      </c>
      <c r="K108" s="160"/>
      <c r="L108" s="316"/>
      <c r="M108" s="160">
        <f t="shared" si="11"/>
        <v>0</v>
      </c>
      <c r="N108" s="316"/>
      <c r="O108" s="160">
        <f t="shared" si="12"/>
        <v>0</v>
      </c>
      <c r="P108" s="160">
        <f t="shared" si="13"/>
        <v>0</v>
      </c>
      <c r="Q108" s="1"/>
      <c r="R108" s="1"/>
      <c r="S108" s="1"/>
      <c r="T108" s="1"/>
      <c r="U108" s="1"/>
    </row>
    <row r="109" spans="1:21">
      <c r="B109" t="str">
        <f t="shared" si="14"/>
        <v/>
      </c>
      <c r="C109" s="155">
        <f>IF(D94="","-",+C108+1)</f>
        <v>2022</v>
      </c>
      <c r="D109" s="156">
        <f>IF(F108+SUM(E$100:E108)=D$93,F108,D$93-SUM(E$100:E108))</f>
        <v>3982193.3689542497</v>
      </c>
      <c r="E109" s="402">
        <f t="shared" si="15"/>
        <v>133808.72222222222</v>
      </c>
      <c r="F109" s="161">
        <f t="shared" si="16"/>
        <v>3848384.6467320276</v>
      </c>
      <c r="G109" s="161">
        <f t="shared" si="17"/>
        <v>3915289.0078431387</v>
      </c>
      <c r="H109" s="403">
        <f t="shared" si="18"/>
        <v>547116.21882086189</v>
      </c>
      <c r="I109" s="404">
        <f t="shared" si="19"/>
        <v>547116.21882086189</v>
      </c>
      <c r="J109" s="160">
        <f t="shared" si="20"/>
        <v>0</v>
      </c>
      <c r="K109" s="160"/>
      <c r="L109" s="316"/>
      <c r="M109" s="160">
        <f t="shared" si="11"/>
        <v>0</v>
      </c>
      <c r="N109" s="316"/>
      <c r="O109" s="160">
        <f t="shared" si="12"/>
        <v>0</v>
      </c>
      <c r="P109" s="160">
        <f t="shared" si="13"/>
        <v>0</v>
      </c>
      <c r="Q109" s="1"/>
      <c r="R109" s="1"/>
      <c r="S109" s="1"/>
      <c r="T109" s="1"/>
      <c r="U109" s="1"/>
    </row>
    <row r="110" spans="1:21">
      <c r="B110" t="str">
        <f t="shared" si="14"/>
        <v/>
      </c>
      <c r="C110" s="155">
        <f>IF(D94="","-",+C109+1)</f>
        <v>2023</v>
      </c>
      <c r="D110" s="156">
        <f>IF(F109+SUM(E$100:E109)=D$93,F109,D$93-SUM(E$100:E109))</f>
        <v>3848384.6467320276</v>
      </c>
      <c r="E110" s="402">
        <f t="shared" si="15"/>
        <v>133808.72222222222</v>
      </c>
      <c r="F110" s="161">
        <f t="shared" si="16"/>
        <v>3714575.9245098056</v>
      </c>
      <c r="G110" s="161">
        <f t="shared" si="17"/>
        <v>3781480.2856209166</v>
      </c>
      <c r="H110" s="403">
        <f t="shared" si="18"/>
        <v>532991.04239226528</v>
      </c>
      <c r="I110" s="404">
        <f t="shared" si="19"/>
        <v>532991.04239226528</v>
      </c>
      <c r="J110" s="160">
        <f t="shared" si="20"/>
        <v>0</v>
      </c>
      <c r="K110" s="160"/>
      <c r="L110" s="316"/>
      <c r="M110" s="160">
        <f t="shared" si="11"/>
        <v>0</v>
      </c>
      <c r="N110" s="316"/>
      <c r="O110" s="160">
        <f t="shared" si="12"/>
        <v>0</v>
      </c>
      <c r="P110" s="160">
        <f t="shared" si="13"/>
        <v>0</v>
      </c>
      <c r="Q110" s="1"/>
      <c r="R110" s="1"/>
      <c r="S110" s="1"/>
      <c r="T110" s="1"/>
      <c r="U110" s="1"/>
    </row>
    <row r="111" spans="1:21">
      <c r="B111" t="str">
        <f t="shared" si="14"/>
        <v/>
      </c>
      <c r="C111" s="155">
        <f>IF(D94="","-",+C110+1)</f>
        <v>2024</v>
      </c>
      <c r="D111" s="156">
        <f>IF(F110+SUM(E$100:E110)=D$93,F110,D$93-SUM(E$100:E110))</f>
        <v>3714575.9245098056</v>
      </c>
      <c r="E111" s="402">
        <f t="shared" si="15"/>
        <v>133808.72222222222</v>
      </c>
      <c r="F111" s="161">
        <f t="shared" si="16"/>
        <v>3580767.2022875836</v>
      </c>
      <c r="G111" s="161">
        <f t="shared" si="17"/>
        <v>3647671.5633986946</v>
      </c>
      <c r="H111" s="403">
        <f t="shared" si="18"/>
        <v>518865.86596366868</v>
      </c>
      <c r="I111" s="404">
        <f t="shared" si="19"/>
        <v>518865.86596366868</v>
      </c>
      <c r="J111" s="160">
        <f t="shared" si="20"/>
        <v>0</v>
      </c>
      <c r="K111" s="160"/>
      <c r="L111" s="316"/>
      <c r="M111" s="160">
        <f t="shared" si="11"/>
        <v>0</v>
      </c>
      <c r="N111" s="316"/>
      <c r="O111" s="160">
        <f t="shared" si="12"/>
        <v>0</v>
      </c>
      <c r="P111" s="160">
        <f t="shared" si="13"/>
        <v>0</v>
      </c>
      <c r="Q111" s="1"/>
      <c r="R111" s="1"/>
      <c r="S111" s="1"/>
      <c r="T111" s="1"/>
      <c r="U111" s="1"/>
    </row>
    <row r="112" spans="1:21">
      <c r="B112" t="str">
        <f t="shared" si="14"/>
        <v/>
      </c>
      <c r="C112" s="155">
        <f>IF(D94="","-",+C111+1)</f>
        <v>2025</v>
      </c>
      <c r="D112" s="156">
        <f>IF(F111+SUM(E$100:E111)=D$93,F111,D$93-SUM(E$100:E111))</f>
        <v>3580767.2022875836</v>
      </c>
      <c r="E112" s="402">
        <f t="shared" si="15"/>
        <v>133808.72222222222</v>
      </c>
      <c r="F112" s="161">
        <f t="shared" si="16"/>
        <v>3446958.4800653616</v>
      </c>
      <c r="G112" s="161">
        <f t="shared" si="17"/>
        <v>3513862.8411764726</v>
      </c>
      <c r="H112" s="403">
        <f t="shared" si="18"/>
        <v>504740.68953507207</v>
      </c>
      <c r="I112" s="404">
        <f t="shared" si="19"/>
        <v>504740.68953507207</v>
      </c>
      <c r="J112" s="160">
        <f t="shared" si="20"/>
        <v>0</v>
      </c>
      <c r="K112" s="160"/>
      <c r="L112" s="316"/>
      <c r="M112" s="160">
        <f t="shared" si="11"/>
        <v>0</v>
      </c>
      <c r="N112" s="316"/>
      <c r="O112" s="160">
        <f t="shared" si="12"/>
        <v>0</v>
      </c>
      <c r="P112" s="160">
        <f t="shared" si="13"/>
        <v>0</v>
      </c>
      <c r="Q112" s="1"/>
      <c r="R112" s="1"/>
      <c r="S112" s="1"/>
      <c r="T112" s="1"/>
      <c r="U112" s="1"/>
    </row>
    <row r="113" spans="2:21">
      <c r="B113" t="str">
        <f t="shared" si="14"/>
        <v/>
      </c>
      <c r="C113" s="155">
        <f>IF(D94="","-",+C112+1)</f>
        <v>2026</v>
      </c>
      <c r="D113" s="156">
        <f>IF(F112+SUM(E$100:E112)=D$93,F112,D$93-SUM(E$100:E112))</f>
        <v>3446958.4800653616</v>
      </c>
      <c r="E113" s="402">
        <f t="shared" si="15"/>
        <v>133808.72222222222</v>
      </c>
      <c r="F113" s="161">
        <f t="shared" si="16"/>
        <v>3313149.7578431396</v>
      </c>
      <c r="G113" s="161">
        <f t="shared" si="17"/>
        <v>3380054.1189542506</v>
      </c>
      <c r="H113" s="403">
        <f t="shared" si="18"/>
        <v>490615.51310647547</v>
      </c>
      <c r="I113" s="404">
        <f t="shared" si="19"/>
        <v>490615.51310647547</v>
      </c>
      <c r="J113" s="160">
        <f t="shared" si="20"/>
        <v>0</v>
      </c>
      <c r="K113" s="160"/>
      <c r="L113" s="316"/>
      <c r="M113" s="160">
        <f t="shared" si="11"/>
        <v>0</v>
      </c>
      <c r="N113" s="316"/>
      <c r="O113" s="160">
        <f t="shared" si="12"/>
        <v>0</v>
      </c>
      <c r="P113" s="160">
        <f t="shared" si="13"/>
        <v>0</v>
      </c>
      <c r="Q113" s="1"/>
      <c r="R113" s="1"/>
      <c r="S113" s="1"/>
      <c r="T113" s="1"/>
      <c r="U113" s="1"/>
    </row>
    <row r="114" spans="2:21">
      <c r="B114" t="str">
        <f t="shared" si="14"/>
        <v/>
      </c>
      <c r="C114" s="155">
        <f>IF(D94="","-",+C113+1)</f>
        <v>2027</v>
      </c>
      <c r="D114" s="156">
        <f>IF(F113+SUM(E$100:E113)=D$93,F113,D$93-SUM(E$100:E113))</f>
        <v>3313149.7578431396</v>
      </c>
      <c r="E114" s="402">
        <f t="shared" si="15"/>
        <v>133808.72222222222</v>
      </c>
      <c r="F114" s="161">
        <f t="shared" si="16"/>
        <v>3179341.0356209176</v>
      </c>
      <c r="G114" s="161">
        <f t="shared" si="17"/>
        <v>3246245.3967320286</v>
      </c>
      <c r="H114" s="403">
        <f t="shared" si="18"/>
        <v>476490.33667787875</v>
      </c>
      <c r="I114" s="404">
        <f t="shared" si="19"/>
        <v>476490.33667787875</v>
      </c>
      <c r="J114" s="160">
        <f t="shared" si="20"/>
        <v>0</v>
      </c>
      <c r="K114" s="160"/>
      <c r="L114" s="316"/>
      <c r="M114" s="160">
        <f t="shared" si="11"/>
        <v>0</v>
      </c>
      <c r="N114" s="316"/>
      <c r="O114" s="160">
        <f t="shared" si="12"/>
        <v>0</v>
      </c>
      <c r="P114" s="160">
        <f t="shared" si="13"/>
        <v>0</v>
      </c>
      <c r="Q114" s="1"/>
      <c r="R114" s="1"/>
      <c r="S114" s="1"/>
      <c r="T114" s="1"/>
      <c r="U114" s="1"/>
    </row>
    <row r="115" spans="2:21">
      <c r="B115" t="str">
        <f t="shared" si="14"/>
        <v/>
      </c>
      <c r="C115" s="155">
        <f>IF(D94="","-",+C114+1)</f>
        <v>2028</v>
      </c>
      <c r="D115" s="156">
        <f>IF(F114+SUM(E$100:E114)=D$93,F114,D$93-SUM(E$100:E114))</f>
        <v>3179341.0356209176</v>
      </c>
      <c r="E115" s="402">
        <f t="shared" si="15"/>
        <v>133808.72222222222</v>
      </c>
      <c r="F115" s="161">
        <f t="shared" si="16"/>
        <v>3045532.3133986956</v>
      </c>
      <c r="G115" s="161">
        <f t="shared" si="17"/>
        <v>3112436.6745098066</v>
      </c>
      <c r="H115" s="403">
        <f t="shared" si="18"/>
        <v>462365.16024928214</v>
      </c>
      <c r="I115" s="404">
        <f t="shared" si="19"/>
        <v>462365.16024928214</v>
      </c>
      <c r="J115" s="160">
        <f t="shared" si="20"/>
        <v>0</v>
      </c>
      <c r="K115" s="160"/>
      <c r="L115" s="316"/>
      <c r="M115" s="160">
        <f t="shared" si="11"/>
        <v>0</v>
      </c>
      <c r="N115" s="316"/>
      <c r="O115" s="160">
        <f t="shared" si="12"/>
        <v>0</v>
      </c>
      <c r="P115" s="160">
        <f t="shared" si="13"/>
        <v>0</v>
      </c>
      <c r="Q115" s="1"/>
      <c r="R115" s="1"/>
      <c r="S115" s="1"/>
      <c r="T115" s="1"/>
      <c r="U115" s="1"/>
    </row>
    <row r="116" spans="2:21">
      <c r="B116" t="str">
        <f t="shared" si="14"/>
        <v/>
      </c>
      <c r="C116" s="155">
        <f>IF(D94="","-",+C115+1)</f>
        <v>2029</v>
      </c>
      <c r="D116" s="156">
        <f>IF(F115+SUM(E$100:E115)=D$93,F115,D$93-SUM(E$100:E115))</f>
        <v>3045532.3133986956</v>
      </c>
      <c r="E116" s="402">
        <f t="shared" si="15"/>
        <v>133808.72222222222</v>
      </c>
      <c r="F116" s="161">
        <f t="shared" si="16"/>
        <v>2911723.5911764735</v>
      </c>
      <c r="G116" s="161">
        <f t="shared" si="17"/>
        <v>2978627.9522875845</v>
      </c>
      <c r="H116" s="403">
        <f t="shared" si="18"/>
        <v>448239.98382068553</v>
      </c>
      <c r="I116" s="404">
        <f t="shared" si="19"/>
        <v>448239.98382068553</v>
      </c>
      <c r="J116" s="160">
        <f t="shared" si="20"/>
        <v>0</v>
      </c>
      <c r="K116" s="160"/>
      <c r="L116" s="316"/>
      <c r="M116" s="160">
        <f t="shared" si="11"/>
        <v>0</v>
      </c>
      <c r="N116" s="316"/>
      <c r="O116" s="160">
        <f t="shared" si="12"/>
        <v>0</v>
      </c>
      <c r="P116" s="160">
        <f t="shared" si="13"/>
        <v>0</v>
      </c>
      <c r="Q116" s="1"/>
      <c r="R116" s="1"/>
      <c r="S116" s="1"/>
      <c r="T116" s="1"/>
      <c r="U116" s="1"/>
    </row>
    <row r="117" spans="2:21">
      <c r="B117" t="str">
        <f t="shared" si="14"/>
        <v/>
      </c>
      <c r="C117" s="155">
        <f>IF(D94="","-",+C116+1)</f>
        <v>2030</v>
      </c>
      <c r="D117" s="156">
        <f>IF(F116+SUM(E$100:E116)=D$93,F116,D$93-SUM(E$100:E116))</f>
        <v>2911723.5911764735</v>
      </c>
      <c r="E117" s="402">
        <f t="shared" si="15"/>
        <v>133808.72222222222</v>
      </c>
      <c r="F117" s="161">
        <f t="shared" si="16"/>
        <v>2777914.8689542515</v>
      </c>
      <c r="G117" s="161">
        <f t="shared" si="17"/>
        <v>2844819.2300653625</v>
      </c>
      <c r="H117" s="403">
        <f t="shared" si="18"/>
        <v>434114.80739208893</v>
      </c>
      <c r="I117" s="404">
        <f t="shared" si="19"/>
        <v>434114.80739208893</v>
      </c>
      <c r="J117" s="160">
        <f t="shared" si="20"/>
        <v>0</v>
      </c>
      <c r="K117" s="160"/>
      <c r="L117" s="316"/>
      <c r="M117" s="160">
        <f t="shared" si="11"/>
        <v>0</v>
      </c>
      <c r="N117" s="316"/>
      <c r="O117" s="160">
        <f t="shared" si="12"/>
        <v>0</v>
      </c>
      <c r="P117" s="160">
        <f t="shared" si="13"/>
        <v>0</v>
      </c>
      <c r="Q117" s="1"/>
      <c r="R117" s="1"/>
      <c r="S117" s="1"/>
      <c r="T117" s="1"/>
      <c r="U117" s="1"/>
    </row>
    <row r="118" spans="2:21">
      <c r="B118" t="str">
        <f t="shared" si="14"/>
        <v/>
      </c>
      <c r="C118" s="155">
        <f>IF(D94="","-",+C117+1)</f>
        <v>2031</v>
      </c>
      <c r="D118" s="156">
        <f>IF(F117+SUM(E$100:E117)=D$93,F117,D$93-SUM(E$100:E117))</f>
        <v>2777914.8689542515</v>
      </c>
      <c r="E118" s="402">
        <f t="shared" si="15"/>
        <v>133808.72222222222</v>
      </c>
      <c r="F118" s="161">
        <f t="shared" si="16"/>
        <v>2644106.1467320295</v>
      </c>
      <c r="G118" s="161">
        <f t="shared" si="17"/>
        <v>2711010.5078431405</v>
      </c>
      <c r="H118" s="403">
        <f t="shared" si="18"/>
        <v>419989.63096349232</v>
      </c>
      <c r="I118" s="404">
        <f t="shared" si="19"/>
        <v>419989.63096349232</v>
      </c>
      <c r="J118" s="160">
        <f t="shared" si="20"/>
        <v>0</v>
      </c>
      <c r="K118" s="160"/>
      <c r="L118" s="316"/>
      <c r="M118" s="160">
        <f t="shared" si="11"/>
        <v>0</v>
      </c>
      <c r="N118" s="316"/>
      <c r="O118" s="160">
        <f t="shared" si="12"/>
        <v>0</v>
      </c>
      <c r="P118" s="160">
        <f t="shared" si="13"/>
        <v>0</v>
      </c>
      <c r="Q118" s="1"/>
      <c r="R118" s="1"/>
      <c r="S118" s="1"/>
      <c r="T118" s="1"/>
      <c r="U118" s="1"/>
    </row>
    <row r="119" spans="2:21">
      <c r="B119" t="str">
        <f t="shared" si="14"/>
        <v/>
      </c>
      <c r="C119" s="155">
        <f>IF(D94="","-",+C118+1)</f>
        <v>2032</v>
      </c>
      <c r="D119" s="156">
        <f>IF(F118+SUM(E$100:E118)=D$93,F118,D$93-SUM(E$100:E118))</f>
        <v>2644106.1467320295</v>
      </c>
      <c r="E119" s="402">
        <f t="shared" si="15"/>
        <v>133808.72222222222</v>
      </c>
      <c r="F119" s="161">
        <f t="shared" si="16"/>
        <v>2510297.4245098075</v>
      </c>
      <c r="G119" s="161">
        <f t="shared" si="17"/>
        <v>2577201.7856209185</v>
      </c>
      <c r="H119" s="403">
        <f t="shared" si="18"/>
        <v>405864.45453489572</v>
      </c>
      <c r="I119" s="404">
        <f t="shared" si="19"/>
        <v>405864.45453489572</v>
      </c>
      <c r="J119" s="160">
        <f t="shared" si="20"/>
        <v>0</v>
      </c>
      <c r="K119" s="160"/>
      <c r="L119" s="316"/>
      <c r="M119" s="160">
        <f t="shared" si="11"/>
        <v>0</v>
      </c>
      <c r="N119" s="316"/>
      <c r="O119" s="160">
        <f t="shared" si="12"/>
        <v>0</v>
      </c>
      <c r="P119" s="160">
        <f t="shared" si="13"/>
        <v>0</v>
      </c>
      <c r="Q119" s="1"/>
      <c r="R119" s="1"/>
      <c r="S119" s="1"/>
      <c r="T119" s="1"/>
      <c r="U119" s="1"/>
    </row>
    <row r="120" spans="2:21">
      <c r="B120" t="str">
        <f t="shared" si="14"/>
        <v/>
      </c>
      <c r="C120" s="155">
        <f>IF(D94="","-",+C119+1)</f>
        <v>2033</v>
      </c>
      <c r="D120" s="156">
        <f>IF(F119+SUM(E$100:E119)=D$93,F119,D$93-SUM(E$100:E119))</f>
        <v>2510297.4245098075</v>
      </c>
      <c r="E120" s="402">
        <f t="shared" si="15"/>
        <v>133808.72222222222</v>
      </c>
      <c r="F120" s="161">
        <f t="shared" si="16"/>
        <v>2376488.7022875855</v>
      </c>
      <c r="G120" s="161">
        <f t="shared" si="17"/>
        <v>2443393.0633986965</v>
      </c>
      <c r="H120" s="403">
        <f t="shared" si="18"/>
        <v>391739.27810629911</v>
      </c>
      <c r="I120" s="404">
        <f t="shared" si="19"/>
        <v>391739.27810629911</v>
      </c>
      <c r="J120" s="160">
        <f t="shared" si="20"/>
        <v>0</v>
      </c>
      <c r="K120" s="160"/>
      <c r="L120" s="316"/>
      <c r="M120" s="160">
        <f t="shared" si="11"/>
        <v>0</v>
      </c>
      <c r="N120" s="316"/>
      <c r="O120" s="160">
        <f t="shared" si="12"/>
        <v>0</v>
      </c>
      <c r="P120" s="160">
        <f t="shared" si="13"/>
        <v>0</v>
      </c>
      <c r="Q120" s="1"/>
      <c r="R120" s="1"/>
      <c r="S120" s="1"/>
      <c r="T120" s="1"/>
      <c r="U120" s="1"/>
    </row>
    <row r="121" spans="2:21">
      <c r="B121" t="str">
        <f t="shared" si="14"/>
        <v/>
      </c>
      <c r="C121" s="155">
        <f>IF(D94="","-",+C120+1)</f>
        <v>2034</v>
      </c>
      <c r="D121" s="156">
        <f>IF(F120+SUM(E$100:E120)=D$93,F120,D$93-SUM(E$100:E120))</f>
        <v>2376488.7022875855</v>
      </c>
      <c r="E121" s="402">
        <f t="shared" si="15"/>
        <v>133808.72222222222</v>
      </c>
      <c r="F121" s="161">
        <f t="shared" si="16"/>
        <v>2242679.9800653635</v>
      </c>
      <c r="G121" s="161">
        <f t="shared" si="17"/>
        <v>2309584.3411764745</v>
      </c>
      <c r="H121" s="403">
        <f t="shared" si="18"/>
        <v>377614.10167770245</v>
      </c>
      <c r="I121" s="404">
        <f t="shared" si="19"/>
        <v>377614.10167770245</v>
      </c>
      <c r="J121" s="160">
        <f t="shared" si="20"/>
        <v>0</v>
      </c>
      <c r="K121" s="160"/>
      <c r="L121" s="316"/>
      <c r="M121" s="160">
        <f t="shared" si="11"/>
        <v>0</v>
      </c>
      <c r="N121" s="316"/>
      <c r="O121" s="160">
        <f t="shared" si="12"/>
        <v>0</v>
      </c>
      <c r="P121" s="160">
        <f t="shared" si="13"/>
        <v>0</v>
      </c>
      <c r="Q121" s="1"/>
      <c r="R121" s="1"/>
      <c r="S121" s="1"/>
      <c r="T121" s="1"/>
      <c r="U121" s="1"/>
    </row>
    <row r="122" spans="2:21">
      <c r="B122" t="str">
        <f t="shared" si="14"/>
        <v/>
      </c>
      <c r="C122" s="155">
        <f>IF(D94="","-",+C121+1)</f>
        <v>2035</v>
      </c>
      <c r="D122" s="156">
        <f>IF(F121+SUM(E$100:E121)=D$93,F121,D$93-SUM(E$100:E121))</f>
        <v>2242679.9800653635</v>
      </c>
      <c r="E122" s="402">
        <f t="shared" si="15"/>
        <v>133808.72222222222</v>
      </c>
      <c r="F122" s="161">
        <f t="shared" si="16"/>
        <v>2108871.2578431414</v>
      </c>
      <c r="G122" s="161">
        <f t="shared" si="17"/>
        <v>2175775.6189542525</v>
      </c>
      <c r="H122" s="403">
        <f t="shared" si="18"/>
        <v>363488.92524910584</v>
      </c>
      <c r="I122" s="404">
        <f t="shared" si="19"/>
        <v>363488.92524910584</v>
      </c>
      <c r="J122" s="160">
        <f t="shared" si="20"/>
        <v>0</v>
      </c>
      <c r="K122" s="160"/>
      <c r="L122" s="316"/>
      <c r="M122" s="160">
        <f t="shared" si="11"/>
        <v>0</v>
      </c>
      <c r="N122" s="316"/>
      <c r="O122" s="160">
        <f t="shared" si="12"/>
        <v>0</v>
      </c>
      <c r="P122" s="160">
        <f t="shared" si="13"/>
        <v>0</v>
      </c>
      <c r="Q122" s="1"/>
      <c r="R122" s="1"/>
      <c r="S122" s="1"/>
      <c r="T122" s="1"/>
      <c r="U122" s="1"/>
    </row>
    <row r="123" spans="2:21">
      <c r="B123" t="str">
        <f t="shared" si="14"/>
        <v/>
      </c>
      <c r="C123" s="155">
        <f>IF(D94="","-",+C122+1)</f>
        <v>2036</v>
      </c>
      <c r="D123" s="156">
        <f>IF(F122+SUM(E$100:E122)=D$93,F122,D$93-SUM(E$100:E122))</f>
        <v>2108871.2578431414</v>
      </c>
      <c r="E123" s="402">
        <f t="shared" si="15"/>
        <v>133808.72222222222</v>
      </c>
      <c r="F123" s="161">
        <f t="shared" si="16"/>
        <v>1975062.5356209192</v>
      </c>
      <c r="G123" s="161">
        <f t="shared" si="17"/>
        <v>2041966.8967320304</v>
      </c>
      <c r="H123" s="403">
        <f t="shared" si="18"/>
        <v>349363.74882050918</v>
      </c>
      <c r="I123" s="404">
        <f t="shared" si="19"/>
        <v>349363.74882050918</v>
      </c>
      <c r="J123" s="160">
        <f t="shared" si="20"/>
        <v>0</v>
      </c>
      <c r="K123" s="160"/>
      <c r="L123" s="316"/>
      <c r="M123" s="160">
        <f t="shared" si="11"/>
        <v>0</v>
      </c>
      <c r="N123" s="316"/>
      <c r="O123" s="160">
        <f t="shared" si="12"/>
        <v>0</v>
      </c>
      <c r="P123" s="160">
        <f t="shared" si="13"/>
        <v>0</v>
      </c>
      <c r="Q123" s="1"/>
      <c r="R123" s="1"/>
      <c r="S123" s="1"/>
      <c r="T123" s="1"/>
      <c r="U123" s="1"/>
    </row>
    <row r="124" spans="2:21">
      <c r="B124" t="str">
        <f t="shared" si="14"/>
        <v/>
      </c>
      <c r="C124" s="155">
        <f>IF(D94="","-",+C123+1)</f>
        <v>2037</v>
      </c>
      <c r="D124" s="156">
        <f>IF(F123+SUM(E$100:E123)=D$93,F123,D$93-SUM(E$100:E123))</f>
        <v>1975062.5356209192</v>
      </c>
      <c r="E124" s="402">
        <f t="shared" si="15"/>
        <v>133808.72222222222</v>
      </c>
      <c r="F124" s="161">
        <f t="shared" si="16"/>
        <v>1841253.8133986969</v>
      </c>
      <c r="G124" s="161">
        <f t="shared" si="17"/>
        <v>1908158.174509808</v>
      </c>
      <c r="H124" s="403">
        <f t="shared" si="18"/>
        <v>335238.57239191257</v>
      </c>
      <c r="I124" s="404">
        <f t="shared" si="19"/>
        <v>335238.57239191257</v>
      </c>
      <c r="J124" s="160">
        <f t="shared" si="20"/>
        <v>0</v>
      </c>
      <c r="K124" s="160"/>
      <c r="L124" s="316"/>
      <c r="M124" s="160">
        <f t="shared" si="11"/>
        <v>0</v>
      </c>
      <c r="N124" s="316"/>
      <c r="O124" s="160">
        <f t="shared" si="12"/>
        <v>0</v>
      </c>
      <c r="P124" s="160">
        <f t="shared" si="13"/>
        <v>0</v>
      </c>
      <c r="Q124" s="1"/>
      <c r="R124" s="1"/>
      <c r="S124" s="1"/>
      <c r="T124" s="1"/>
      <c r="U124" s="1"/>
    </row>
    <row r="125" spans="2:21">
      <c r="B125" t="str">
        <f t="shared" si="14"/>
        <v/>
      </c>
      <c r="C125" s="155">
        <f>IF(D94="","-",+C124+1)</f>
        <v>2038</v>
      </c>
      <c r="D125" s="156">
        <f>IF(F124+SUM(E$100:E124)=D$93,F124,D$93-SUM(E$100:E124))</f>
        <v>1841253.8133986969</v>
      </c>
      <c r="E125" s="402">
        <f t="shared" si="15"/>
        <v>133808.72222222222</v>
      </c>
      <c r="F125" s="161">
        <f t="shared" si="16"/>
        <v>1707445.0911764747</v>
      </c>
      <c r="G125" s="161">
        <f t="shared" si="17"/>
        <v>1774349.4522875859</v>
      </c>
      <c r="H125" s="403">
        <f t="shared" si="18"/>
        <v>321113.39596331597</v>
      </c>
      <c r="I125" s="404">
        <f t="shared" si="19"/>
        <v>321113.39596331597</v>
      </c>
      <c r="J125" s="160">
        <f t="shared" si="20"/>
        <v>0</v>
      </c>
      <c r="K125" s="160"/>
      <c r="L125" s="316"/>
      <c r="M125" s="160">
        <f t="shared" si="11"/>
        <v>0</v>
      </c>
      <c r="N125" s="316"/>
      <c r="O125" s="160">
        <f t="shared" si="12"/>
        <v>0</v>
      </c>
      <c r="P125" s="160">
        <f t="shared" si="13"/>
        <v>0</v>
      </c>
      <c r="Q125" s="1"/>
      <c r="R125" s="1"/>
      <c r="S125" s="1"/>
      <c r="T125" s="1"/>
      <c r="U125" s="1"/>
    </row>
    <row r="126" spans="2:21">
      <c r="B126" t="str">
        <f t="shared" si="14"/>
        <v/>
      </c>
      <c r="C126" s="155">
        <f>IF(D94="","-",+C125+1)</f>
        <v>2039</v>
      </c>
      <c r="D126" s="156">
        <f>IF(F125+SUM(E$100:E125)=D$93,F125,D$93-SUM(E$100:E125))</f>
        <v>1707445.0911764747</v>
      </c>
      <c r="E126" s="402">
        <f t="shared" si="15"/>
        <v>133808.72222222222</v>
      </c>
      <c r="F126" s="161">
        <f t="shared" si="16"/>
        <v>1573636.3689542525</v>
      </c>
      <c r="G126" s="161">
        <f t="shared" si="17"/>
        <v>1640540.7300653635</v>
      </c>
      <c r="H126" s="403">
        <f t="shared" si="18"/>
        <v>306988.21953471925</v>
      </c>
      <c r="I126" s="404">
        <f t="shared" si="19"/>
        <v>306988.21953471925</v>
      </c>
      <c r="J126" s="160">
        <f t="shared" si="20"/>
        <v>0</v>
      </c>
      <c r="K126" s="160"/>
      <c r="L126" s="316"/>
      <c r="M126" s="160">
        <f t="shared" si="11"/>
        <v>0</v>
      </c>
      <c r="N126" s="316"/>
      <c r="O126" s="160">
        <f t="shared" si="12"/>
        <v>0</v>
      </c>
      <c r="P126" s="160">
        <f t="shared" si="13"/>
        <v>0</v>
      </c>
      <c r="Q126" s="1"/>
      <c r="R126" s="1"/>
      <c r="S126" s="1"/>
      <c r="T126" s="1"/>
      <c r="U126" s="1"/>
    </row>
    <row r="127" spans="2:21">
      <c r="B127" t="str">
        <f t="shared" si="14"/>
        <v/>
      </c>
      <c r="C127" s="155">
        <f>IF(D94="","-",+C126+1)</f>
        <v>2040</v>
      </c>
      <c r="D127" s="156">
        <f>IF(F126+SUM(E$100:E126)=D$93,F126,D$93-SUM(E$100:E126))</f>
        <v>1573636.3689542525</v>
      </c>
      <c r="E127" s="402">
        <f t="shared" si="15"/>
        <v>133808.72222222222</v>
      </c>
      <c r="F127" s="161">
        <f t="shared" si="16"/>
        <v>1439827.6467320302</v>
      </c>
      <c r="G127" s="161">
        <f t="shared" si="17"/>
        <v>1506732.0078431414</v>
      </c>
      <c r="H127" s="403">
        <f t="shared" si="18"/>
        <v>292863.04310612264</v>
      </c>
      <c r="I127" s="404">
        <f t="shared" si="19"/>
        <v>292863.04310612264</v>
      </c>
      <c r="J127" s="160">
        <f t="shared" si="20"/>
        <v>0</v>
      </c>
      <c r="K127" s="160"/>
      <c r="L127" s="316"/>
      <c r="M127" s="160">
        <f t="shared" si="11"/>
        <v>0</v>
      </c>
      <c r="N127" s="316"/>
      <c r="O127" s="160">
        <f t="shared" si="12"/>
        <v>0</v>
      </c>
      <c r="P127" s="160">
        <f t="shared" si="13"/>
        <v>0</v>
      </c>
      <c r="Q127" s="1"/>
      <c r="R127" s="1"/>
      <c r="S127" s="1"/>
      <c r="T127" s="1"/>
      <c r="U127" s="1"/>
    </row>
    <row r="128" spans="2:21">
      <c r="B128" t="str">
        <f t="shared" si="14"/>
        <v/>
      </c>
      <c r="C128" s="155">
        <f>IF(D94="","-",+C127+1)</f>
        <v>2041</v>
      </c>
      <c r="D128" s="156">
        <f>IF(F127+SUM(E$100:E127)=D$93,F127,D$93-SUM(E$100:E127))</f>
        <v>1439827.6467320302</v>
      </c>
      <c r="E128" s="402">
        <f t="shared" si="15"/>
        <v>133808.72222222222</v>
      </c>
      <c r="F128" s="161">
        <f t="shared" si="16"/>
        <v>1306018.924509808</v>
      </c>
      <c r="G128" s="161">
        <f t="shared" si="17"/>
        <v>1372923.285620919</v>
      </c>
      <c r="H128" s="403">
        <f t="shared" si="18"/>
        <v>278737.86667752598</v>
      </c>
      <c r="I128" s="404">
        <f t="shared" si="19"/>
        <v>278737.86667752598</v>
      </c>
      <c r="J128" s="160">
        <f t="shared" si="20"/>
        <v>0</v>
      </c>
      <c r="K128" s="160"/>
      <c r="L128" s="316"/>
      <c r="M128" s="160">
        <f t="shared" si="11"/>
        <v>0</v>
      </c>
      <c r="N128" s="316"/>
      <c r="O128" s="160">
        <f t="shared" si="12"/>
        <v>0</v>
      </c>
      <c r="P128" s="160">
        <f t="shared" si="13"/>
        <v>0</v>
      </c>
      <c r="Q128" s="1"/>
      <c r="R128" s="1"/>
      <c r="S128" s="1"/>
      <c r="T128" s="1"/>
      <c r="U128" s="1"/>
    </row>
    <row r="129" spans="2:21">
      <c r="B129" t="str">
        <f t="shared" si="14"/>
        <v/>
      </c>
      <c r="C129" s="155">
        <f>IF(D94="","-",+C128+1)</f>
        <v>2042</v>
      </c>
      <c r="D129" s="156">
        <f>IF(F128+SUM(E$100:E128)=D$93,F128,D$93-SUM(E$100:E128))</f>
        <v>1306018.924509808</v>
      </c>
      <c r="E129" s="402">
        <f t="shared" si="15"/>
        <v>133808.72222222222</v>
      </c>
      <c r="F129" s="161">
        <f t="shared" si="16"/>
        <v>1172210.2022875857</v>
      </c>
      <c r="G129" s="161">
        <f t="shared" si="17"/>
        <v>1239114.5633986969</v>
      </c>
      <c r="H129" s="403">
        <f t="shared" si="18"/>
        <v>264612.69024892937</v>
      </c>
      <c r="I129" s="404">
        <f t="shared" si="19"/>
        <v>264612.69024892937</v>
      </c>
      <c r="J129" s="160">
        <f t="shared" si="20"/>
        <v>0</v>
      </c>
      <c r="K129" s="160"/>
      <c r="L129" s="316"/>
      <c r="M129" s="160">
        <f t="shared" si="11"/>
        <v>0</v>
      </c>
      <c r="N129" s="316"/>
      <c r="O129" s="160">
        <f t="shared" si="12"/>
        <v>0</v>
      </c>
      <c r="P129" s="160">
        <f t="shared" si="13"/>
        <v>0</v>
      </c>
      <c r="Q129" s="1"/>
      <c r="R129" s="1"/>
      <c r="S129" s="1"/>
      <c r="T129" s="1"/>
      <c r="U129" s="1"/>
    </row>
    <row r="130" spans="2:21">
      <c r="B130" t="str">
        <f t="shared" si="14"/>
        <v/>
      </c>
      <c r="C130" s="155">
        <f>IF(D94="","-",+C129+1)</f>
        <v>2043</v>
      </c>
      <c r="D130" s="156">
        <f>IF(F129+SUM(E$100:E129)=D$93,F129,D$93-SUM(E$100:E129))</f>
        <v>1172210.2022875857</v>
      </c>
      <c r="E130" s="402">
        <f t="shared" si="15"/>
        <v>133808.72222222222</v>
      </c>
      <c r="F130" s="161">
        <f t="shared" si="16"/>
        <v>1038401.4800653635</v>
      </c>
      <c r="G130" s="161">
        <f t="shared" si="17"/>
        <v>1105305.8411764745</v>
      </c>
      <c r="H130" s="403">
        <f t="shared" si="18"/>
        <v>250487.51382033271</v>
      </c>
      <c r="I130" s="404">
        <f t="shared" si="19"/>
        <v>250487.51382033271</v>
      </c>
      <c r="J130" s="160">
        <f t="shared" si="20"/>
        <v>0</v>
      </c>
      <c r="K130" s="160"/>
      <c r="L130" s="316"/>
      <c r="M130" s="160">
        <f t="shared" si="11"/>
        <v>0</v>
      </c>
      <c r="N130" s="316"/>
      <c r="O130" s="160">
        <f t="shared" si="12"/>
        <v>0</v>
      </c>
      <c r="P130" s="160">
        <f t="shared" si="13"/>
        <v>0</v>
      </c>
      <c r="Q130" s="1"/>
      <c r="R130" s="1"/>
      <c r="S130" s="1"/>
      <c r="T130" s="1"/>
      <c r="U130" s="1"/>
    </row>
    <row r="131" spans="2:21">
      <c r="B131" t="str">
        <f t="shared" si="14"/>
        <v/>
      </c>
      <c r="C131" s="155">
        <f>IF(D94="","-",+C130+1)</f>
        <v>2044</v>
      </c>
      <c r="D131" s="156">
        <f>IF(F130+SUM(E$100:E130)=D$93,F130,D$93-SUM(E$100:E130))</f>
        <v>1038401.4800653635</v>
      </c>
      <c r="E131" s="402">
        <f t="shared" si="15"/>
        <v>133808.72222222222</v>
      </c>
      <c r="F131" s="161">
        <f t="shared" si="16"/>
        <v>904592.75784314121</v>
      </c>
      <c r="G131" s="161">
        <f t="shared" si="17"/>
        <v>971497.11895425234</v>
      </c>
      <c r="H131" s="403">
        <f t="shared" si="18"/>
        <v>236362.33739173604</v>
      </c>
      <c r="I131" s="404">
        <f t="shared" si="19"/>
        <v>236362.33739173604</v>
      </c>
      <c r="J131" s="160">
        <f t="shared" si="20"/>
        <v>0</v>
      </c>
      <c r="K131" s="160"/>
      <c r="L131" s="316"/>
      <c r="M131" s="160">
        <f t="shared" si="11"/>
        <v>0</v>
      </c>
      <c r="N131" s="316"/>
      <c r="O131" s="160">
        <f t="shared" si="12"/>
        <v>0</v>
      </c>
      <c r="P131" s="160">
        <f t="shared" si="13"/>
        <v>0</v>
      </c>
      <c r="Q131" s="1"/>
      <c r="R131" s="1"/>
      <c r="S131" s="1"/>
      <c r="T131" s="1"/>
      <c r="U131" s="1"/>
    </row>
    <row r="132" spans="2:21">
      <c r="B132" t="str">
        <f t="shared" si="14"/>
        <v/>
      </c>
      <c r="C132" s="155">
        <f>IF(D94="","-",+C131+1)</f>
        <v>2045</v>
      </c>
      <c r="D132" s="156">
        <f>IF(F131+SUM(E$100:E131)=D$93,F131,D$93-SUM(E$100:E131))</f>
        <v>904592.75784314121</v>
      </c>
      <c r="E132" s="402">
        <f t="shared" si="15"/>
        <v>133808.72222222222</v>
      </c>
      <c r="F132" s="161">
        <f t="shared" si="16"/>
        <v>770784.03562091896</v>
      </c>
      <c r="G132" s="161">
        <f t="shared" si="17"/>
        <v>837688.39673203009</v>
      </c>
      <c r="H132" s="403">
        <f t="shared" si="18"/>
        <v>222237.16096313941</v>
      </c>
      <c r="I132" s="404">
        <f t="shared" si="19"/>
        <v>222237.16096313941</v>
      </c>
      <c r="J132" s="160">
        <f t="shared" si="20"/>
        <v>0</v>
      </c>
      <c r="K132" s="160"/>
      <c r="L132" s="316"/>
      <c r="M132" s="160">
        <f t="shared" ref="M132:M155" si="21">IF(L542&lt;&gt;0,+H542-L542,0)</f>
        <v>0</v>
      </c>
      <c r="N132" s="316"/>
      <c r="O132" s="160">
        <f t="shared" ref="O132:O155" si="22">IF(N542&lt;&gt;0,+I542-N542,0)</f>
        <v>0</v>
      </c>
      <c r="P132" s="160">
        <f t="shared" ref="P132:P155" si="23">+O542-M542</f>
        <v>0</v>
      </c>
      <c r="Q132" s="1"/>
      <c r="R132" s="1"/>
      <c r="S132" s="1"/>
      <c r="T132" s="1"/>
      <c r="U132" s="1"/>
    </row>
    <row r="133" spans="2:21">
      <c r="B133" t="str">
        <f t="shared" si="14"/>
        <v/>
      </c>
      <c r="C133" s="155">
        <f>IF(D94="","-",+C132+1)</f>
        <v>2046</v>
      </c>
      <c r="D133" s="156">
        <f>IF(F132+SUM(E$100:E132)=D$93,F132,D$93-SUM(E$100:E132))</f>
        <v>770784.03562091896</v>
      </c>
      <c r="E133" s="402">
        <f t="shared" si="15"/>
        <v>133808.72222222222</v>
      </c>
      <c r="F133" s="161">
        <f t="shared" si="16"/>
        <v>636975.31339869672</v>
      </c>
      <c r="G133" s="161">
        <f t="shared" si="17"/>
        <v>703879.67450980784</v>
      </c>
      <c r="H133" s="403">
        <f t="shared" si="18"/>
        <v>208111.98453454277</v>
      </c>
      <c r="I133" s="404">
        <f t="shared" si="19"/>
        <v>208111.98453454277</v>
      </c>
      <c r="J133" s="160">
        <f t="shared" si="20"/>
        <v>0</v>
      </c>
      <c r="K133" s="160"/>
      <c r="L133" s="316"/>
      <c r="M133" s="160">
        <f t="shared" si="21"/>
        <v>0</v>
      </c>
      <c r="N133" s="316"/>
      <c r="O133" s="160">
        <f t="shared" si="22"/>
        <v>0</v>
      </c>
      <c r="P133" s="160">
        <f t="shared" si="23"/>
        <v>0</v>
      </c>
      <c r="Q133" s="1"/>
      <c r="R133" s="1"/>
      <c r="S133" s="1"/>
      <c r="T133" s="1"/>
      <c r="U133" s="1"/>
    </row>
    <row r="134" spans="2:21">
      <c r="B134" t="str">
        <f t="shared" si="14"/>
        <v/>
      </c>
      <c r="C134" s="155">
        <f>IF(D94="","-",+C133+1)</f>
        <v>2047</v>
      </c>
      <c r="D134" s="156">
        <f>IF(F133+SUM(E$100:E133)=D$93,F133,D$93-SUM(E$100:E133))</f>
        <v>636975.31339869672</v>
      </c>
      <c r="E134" s="402">
        <f t="shared" si="15"/>
        <v>133808.72222222222</v>
      </c>
      <c r="F134" s="161">
        <f t="shared" si="16"/>
        <v>503166.59117647447</v>
      </c>
      <c r="G134" s="161">
        <f t="shared" si="17"/>
        <v>570070.95228758559</v>
      </c>
      <c r="H134" s="403">
        <f t="shared" si="18"/>
        <v>193986.80810594611</v>
      </c>
      <c r="I134" s="404">
        <f t="shared" si="19"/>
        <v>193986.80810594611</v>
      </c>
      <c r="J134" s="160">
        <f t="shared" si="20"/>
        <v>0</v>
      </c>
      <c r="K134" s="160"/>
      <c r="L134" s="316"/>
      <c r="M134" s="160">
        <f t="shared" si="21"/>
        <v>0</v>
      </c>
      <c r="N134" s="316"/>
      <c r="O134" s="160">
        <f t="shared" si="22"/>
        <v>0</v>
      </c>
      <c r="P134" s="160">
        <f t="shared" si="23"/>
        <v>0</v>
      </c>
      <c r="Q134" s="1"/>
      <c r="R134" s="1"/>
      <c r="S134" s="1"/>
      <c r="T134" s="1"/>
      <c r="U134" s="1"/>
    </row>
    <row r="135" spans="2:21">
      <c r="B135" t="str">
        <f t="shared" si="14"/>
        <v/>
      </c>
      <c r="C135" s="155">
        <f>IF(D94="","-",+C134+1)</f>
        <v>2048</v>
      </c>
      <c r="D135" s="156">
        <f>IF(F134+SUM(E$100:E134)=D$93,F134,D$93-SUM(E$100:E134))</f>
        <v>503166.59117647447</v>
      </c>
      <c r="E135" s="402">
        <f t="shared" si="15"/>
        <v>133808.72222222222</v>
      </c>
      <c r="F135" s="161">
        <f t="shared" si="16"/>
        <v>369357.86895425222</v>
      </c>
      <c r="G135" s="161">
        <f t="shared" si="17"/>
        <v>436262.23006536334</v>
      </c>
      <c r="H135" s="403">
        <f t="shared" si="18"/>
        <v>179861.63167734948</v>
      </c>
      <c r="I135" s="404">
        <f t="shared" si="19"/>
        <v>179861.63167734948</v>
      </c>
      <c r="J135" s="160">
        <f t="shared" si="20"/>
        <v>0</v>
      </c>
      <c r="K135" s="160"/>
      <c r="L135" s="316"/>
      <c r="M135" s="160">
        <f t="shared" si="21"/>
        <v>0</v>
      </c>
      <c r="N135" s="316"/>
      <c r="O135" s="160">
        <f t="shared" si="22"/>
        <v>0</v>
      </c>
      <c r="P135" s="160">
        <f t="shared" si="23"/>
        <v>0</v>
      </c>
      <c r="Q135" s="1"/>
      <c r="R135" s="1"/>
      <c r="S135" s="1"/>
      <c r="T135" s="1"/>
      <c r="U135" s="1"/>
    </row>
    <row r="136" spans="2:21">
      <c r="B136" t="str">
        <f t="shared" si="14"/>
        <v/>
      </c>
      <c r="C136" s="155">
        <f>IF(D94="","-",+C135+1)</f>
        <v>2049</v>
      </c>
      <c r="D136" s="156">
        <f>IF(F135+SUM(E$100:E135)=D$93,F135,D$93-SUM(E$100:E135))</f>
        <v>369357.86895425222</v>
      </c>
      <c r="E136" s="402">
        <f t="shared" si="15"/>
        <v>133808.72222222222</v>
      </c>
      <c r="F136" s="161">
        <f t="shared" si="16"/>
        <v>235549.14673203</v>
      </c>
      <c r="G136" s="161">
        <f t="shared" si="17"/>
        <v>302453.50784314109</v>
      </c>
      <c r="H136" s="403">
        <f t="shared" si="18"/>
        <v>165736.45524875284</v>
      </c>
      <c r="I136" s="404">
        <f t="shared" si="19"/>
        <v>165736.45524875284</v>
      </c>
      <c r="J136" s="160">
        <f t="shared" si="20"/>
        <v>0</v>
      </c>
      <c r="K136" s="160"/>
      <c r="L136" s="316"/>
      <c r="M136" s="160">
        <f t="shared" si="21"/>
        <v>0</v>
      </c>
      <c r="N136" s="316"/>
      <c r="O136" s="160">
        <f t="shared" si="22"/>
        <v>0</v>
      </c>
      <c r="P136" s="160">
        <f t="shared" si="23"/>
        <v>0</v>
      </c>
      <c r="Q136" s="1"/>
      <c r="R136" s="1"/>
      <c r="S136" s="1"/>
      <c r="T136" s="1"/>
      <c r="U136" s="1"/>
    </row>
    <row r="137" spans="2:21">
      <c r="B137" t="str">
        <f t="shared" si="14"/>
        <v/>
      </c>
      <c r="C137" s="155">
        <f>IF(D94="","-",+C136+1)</f>
        <v>2050</v>
      </c>
      <c r="D137" s="156">
        <f>IF(F136+SUM(E$100:E136)=D$93,F136,D$93-SUM(E$100:E136))</f>
        <v>235549.14673203</v>
      </c>
      <c r="E137" s="402">
        <f t="shared" si="15"/>
        <v>133808.72222222222</v>
      </c>
      <c r="F137" s="161">
        <f t="shared" si="16"/>
        <v>101740.42450980778</v>
      </c>
      <c r="G137" s="161">
        <f t="shared" si="17"/>
        <v>168644.7856209189</v>
      </c>
      <c r="H137" s="403">
        <f t="shared" si="18"/>
        <v>151611.27882015621</v>
      </c>
      <c r="I137" s="404">
        <f t="shared" si="19"/>
        <v>151611.27882015621</v>
      </c>
      <c r="J137" s="160">
        <f t="shared" si="20"/>
        <v>0</v>
      </c>
      <c r="K137" s="160"/>
      <c r="L137" s="316"/>
      <c r="M137" s="160">
        <f t="shared" si="21"/>
        <v>0</v>
      </c>
      <c r="N137" s="316"/>
      <c r="O137" s="160">
        <f t="shared" si="22"/>
        <v>0</v>
      </c>
      <c r="P137" s="160">
        <f t="shared" si="23"/>
        <v>0</v>
      </c>
      <c r="Q137" s="1"/>
      <c r="R137" s="1"/>
      <c r="S137" s="1"/>
      <c r="T137" s="1"/>
      <c r="U137" s="1"/>
    </row>
    <row r="138" spans="2:21">
      <c r="B138" t="str">
        <f t="shared" si="14"/>
        <v/>
      </c>
      <c r="C138" s="155">
        <f>IF(D94="","-",+C137+1)</f>
        <v>2051</v>
      </c>
      <c r="D138" s="156">
        <f>IF(F137+SUM(E$100:E137)=D$93,F137,D$93-SUM(E$100:E137))</f>
        <v>101740.42450980778</v>
      </c>
      <c r="E138" s="402">
        <f t="shared" si="15"/>
        <v>101740.42450980778</v>
      </c>
      <c r="F138" s="161">
        <f t="shared" si="16"/>
        <v>0</v>
      </c>
      <c r="G138" s="161">
        <f t="shared" si="17"/>
        <v>50870.21225490389</v>
      </c>
      <c r="H138" s="403">
        <f t="shared" si="18"/>
        <v>107110.40870162561</v>
      </c>
      <c r="I138" s="404">
        <f t="shared" si="19"/>
        <v>107110.40870162561</v>
      </c>
      <c r="J138" s="160">
        <f t="shared" si="20"/>
        <v>0</v>
      </c>
      <c r="K138" s="160"/>
      <c r="L138" s="316"/>
      <c r="M138" s="160">
        <f t="shared" si="21"/>
        <v>0</v>
      </c>
      <c r="N138" s="316"/>
      <c r="O138" s="160">
        <f t="shared" si="22"/>
        <v>0</v>
      </c>
      <c r="P138" s="160">
        <f t="shared" si="23"/>
        <v>0</v>
      </c>
      <c r="Q138" s="1"/>
      <c r="R138" s="1"/>
      <c r="S138" s="1"/>
      <c r="T138" s="1"/>
      <c r="U138" s="1"/>
    </row>
    <row r="139" spans="2:21">
      <c r="B139" t="str">
        <f t="shared" si="14"/>
        <v/>
      </c>
      <c r="C139" s="155">
        <f>IF(D94="","-",+C138+1)</f>
        <v>2052</v>
      </c>
      <c r="D139" s="156">
        <f>IF(F138+SUM(E$100:E138)=D$93,F138,D$93-SUM(E$100:E138))</f>
        <v>0</v>
      </c>
      <c r="E139" s="402">
        <f t="shared" si="15"/>
        <v>0</v>
      </c>
      <c r="F139" s="161">
        <f t="shared" si="16"/>
        <v>0</v>
      </c>
      <c r="G139" s="161">
        <f t="shared" si="17"/>
        <v>0</v>
      </c>
      <c r="H139" s="403">
        <f t="shared" si="18"/>
        <v>0</v>
      </c>
      <c r="I139" s="404">
        <f t="shared" si="19"/>
        <v>0</v>
      </c>
      <c r="J139" s="160">
        <f t="shared" si="20"/>
        <v>0</v>
      </c>
      <c r="K139" s="160"/>
      <c r="L139" s="316"/>
      <c r="M139" s="160">
        <f t="shared" si="21"/>
        <v>0</v>
      </c>
      <c r="N139" s="316"/>
      <c r="O139" s="160">
        <f t="shared" si="22"/>
        <v>0</v>
      </c>
      <c r="P139" s="160">
        <f t="shared" si="23"/>
        <v>0</v>
      </c>
      <c r="Q139" s="1"/>
      <c r="R139" s="1"/>
      <c r="S139" s="1"/>
      <c r="T139" s="1"/>
      <c r="U139" s="1"/>
    </row>
    <row r="140" spans="2:21">
      <c r="B140" t="str">
        <f t="shared" si="14"/>
        <v/>
      </c>
      <c r="C140" s="155">
        <f>IF(D94="","-",+C139+1)</f>
        <v>2053</v>
      </c>
      <c r="D140" s="156">
        <f>IF(F139+SUM(E$100:E139)=D$93,F139,D$93-SUM(E$100:E139))</f>
        <v>0</v>
      </c>
      <c r="E140" s="402">
        <f t="shared" si="15"/>
        <v>0</v>
      </c>
      <c r="F140" s="161">
        <f t="shared" si="16"/>
        <v>0</v>
      </c>
      <c r="G140" s="161">
        <f t="shared" si="17"/>
        <v>0</v>
      </c>
      <c r="H140" s="403">
        <f t="shared" si="18"/>
        <v>0</v>
      </c>
      <c r="I140" s="404">
        <f t="shared" si="19"/>
        <v>0</v>
      </c>
      <c r="J140" s="160">
        <f t="shared" si="20"/>
        <v>0</v>
      </c>
      <c r="K140" s="160"/>
      <c r="L140" s="316"/>
      <c r="M140" s="160">
        <f t="shared" si="21"/>
        <v>0</v>
      </c>
      <c r="N140" s="316"/>
      <c r="O140" s="160">
        <f t="shared" si="22"/>
        <v>0</v>
      </c>
      <c r="P140" s="160">
        <f t="shared" si="23"/>
        <v>0</v>
      </c>
      <c r="Q140" s="1"/>
      <c r="R140" s="1"/>
      <c r="S140" s="1"/>
      <c r="T140" s="1"/>
      <c r="U140" s="1"/>
    </row>
    <row r="141" spans="2:21">
      <c r="B141" t="str">
        <f t="shared" si="14"/>
        <v/>
      </c>
      <c r="C141" s="155">
        <f>IF(D94="","-",+C140+1)</f>
        <v>2054</v>
      </c>
      <c r="D141" s="156">
        <f>IF(F140+SUM(E$100:E140)=D$93,F140,D$93-SUM(E$100:E140))</f>
        <v>0</v>
      </c>
      <c r="E141" s="402">
        <f t="shared" si="15"/>
        <v>0</v>
      </c>
      <c r="F141" s="161">
        <f t="shared" si="16"/>
        <v>0</v>
      </c>
      <c r="G141" s="161">
        <f t="shared" si="17"/>
        <v>0</v>
      </c>
      <c r="H141" s="403">
        <f t="shared" si="18"/>
        <v>0</v>
      </c>
      <c r="I141" s="404">
        <f t="shared" si="19"/>
        <v>0</v>
      </c>
      <c r="J141" s="160">
        <f t="shared" si="20"/>
        <v>0</v>
      </c>
      <c r="K141" s="160"/>
      <c r="L141" s="316"/>
      <c r="M141" s="160">
        <f t="shared" si="21"/>
        <v>0</v>
      </c>
      <c r="N141" s="316"/>
      <c r="O141" s="160">
        <f t="shared" si="22"/>
        <v>0</v>
      </c>
      <c r="P141" s="160">
        <f t="shared" si="23"/>
        <v>0</v>
      </c>
      <c r="Q141" s="1"/>
      <c r="R141" s="1"/>
      <c r="S141" s="1"/>
      <c r="T141" s="1"/>
      <c r="U141" s="1"/>
    </row>
    <row r="142" spans="2:21">
      <c r="B142" t="str">
        <f t="shared" si="14"/>
        <v/>
      </c>
      <c r="C142" s="155">
        <f>IF(D94="","-",+C141+1)</f>
        <v>2055</v>
      </c>
      <c r="D142" s="156">
        <f>IF(F141+SUM(E$100:E141)=D$93,F141,D$93-SUM(E$100:E141))</f>
        <v>0</v>
      </c>
      <c r="E142" s="402">
        <f t="shared" si="15"/>
        <v>0</v>
      </c>
      <c r="F142" s="161">
        <f t="shared" si="16"/>
        <v>0</v>
      </c>
      <c r="G142" s="161">
        <f t="shared" si="17"/>
        <v>0</v>
      </c>
      <c r="H142" s="403">
        <f t="shared" si="18"/>
        <v>0</v>
      </c>
      <c r="I142" s="404">
        <f t="shared" si="19"/>
        <v>0</v>
      </c>
      <c r="J142" s="160">
        <f t="shared" si="20"/>
        <v>0</v>
      </c>
      <c r="K142" s="160"/>
      <c r="L142" s="316"/>
      <c r="M142" s="160">
        <f t="shared" si="21"/>
        <v>0</v>
      </c>
      <c r="N142" s="316"/>
      <c r="O142" s="160">
        <f t="shared" si="22"/>
        <v>0</v>
      </c>
      <c r="P142" s="160">
        <f t="shared" si="23"/>
        <v>0</v>
      </c>
      <c r="Q142" s="1"/>
      <c r="R142" s="1"/>
      <c r="S142" s="1"/>
      <c r="T142" s="1"/>
      <c r="U142" s="1"/>
    </row>
    <row r="143" spans="2:21">
      <c r="B143" t="str">
        <f t="shared" si="14"/>
        <v/>
      </c>
      <c r="C143" s="155">
        <f>IF(D94="","-",+C142+1)</f>
        <v>2056</v>
      </c>
      <c r="D143" s="156">
        <f>IF(F142+SUM(E$100:E142)=D$93,F142,D$93-SUM(E$100:E142))</f>
        <v>0</v>
      </c>
      <c r="E143" s="402">
        <f t="shared" si="15"/>
        <v>0</v>
      </c>
      <c r="F143" s="161">
        <f t="shared" si="16"/>
        <v>0</v>
      </c>
      <c r="G143" s="161">
        <f t="shared" si="17"/>
        <v>0</v>
      </c>
      <c r="H143" s="403">
        <f t="shared" si="18"/>
        <v>0</v>
      </c>
      <c r="I143" s="404">
        <f t="shared" si="19"/>
        <v>0</v>
      </c>
      <c r="J143" s="160">
        <f t="shared" si="20"/>
        <v>0</v>
      </c>
      <c r="K143" s="160"/>
      <c r="L143" s="316"/>
      <c r="M143" s="160">
        <f t="shared" si="21"/>
        <v>0</v>
      </c>
      <c r="N143" s="316"/>
      <c r="O143" s="160">
        <f t="shared" si="22"/>
        <v>0</v>
      </c>
      <c r="P143" s="160">
        <f t="shared" si="23"/>
        <v>0</v>
      </c>
      <c r="Q143" s="1"/>
      <c r="R143" s="1"/>
      <c r="S143" s="1"/>
      <c r="T143" s="1"/>
      <c r="U143" s="1"/>
    </row>
    <row r="144" spans="2:21">
      <c r="B144" t="str">
        <f t="shared" si="14"/>
        <v/>
      </c>
      <c r="C144" s="155">
        <f>IF(D94="","-",+C143+1)</f>
        <v>2057</v>
      </c>
      <c r="D144" s="156">
        <f>IF(F143+SUM(E$100:E143)=D$93,F143,D$93-SUM(E$100:E143))</f>
        <v>0</v>
      </c>
      <c r="E144" s="402">
        <f t="shared" si="15"/>
        <v>0</v>
      </c>
      <c r="F144" s="161">
        <f t="shared" si="16"/>
        <v>0</v>
      </c>
      <c r="G144" s="161">
        <f t="shared" si="17"/>
        <v>0</v>
      </c>
      <c r="H144" s="403">
        <f t="shared" si="18"/>
        <v>0</v>
      </c>
      <c r="I144" s="404">
        <f t="shared" si="19"/>
        <v>0</v>
      </c>
      <c r="J144" s="160">
        <f t="shared" si="20"/>
        <v>0</v>
      </c>
      <c r="K144" s="160"/>
      <c r="L144" s="316"/>
      <c r="M144" s="160">
        <f t="shared" si="21"/>
        <v>0</v>
      </c>
      <c r="N144" s="316"/>
      <c r="O144" s="160">
        <f t="shared" si="22"/>
        <v>0</v>
      </c>
      <c r="P144" s="160">
        <f t="shared" si="23"/>
        <v>0</v>
      </c>
      <c r="Q144" s="1"/>
      <c r="R144" s="1"/>
      <c r="S144" s="1"/>
      <c r="T144" s="1"/>
      <c r="U144" s="1"/>
    </row>
    <row r="145" spans="2:21">
      <c r="B145" t="str">
        <f t="shared" si="14"/>
        <v/>
      </c>
      <c r="C145" s="155">
        <f>IF(D94="","-",+C144+1)</f>
        <v>2058</v>
      </c>
      <c r="D145" s="156">
        <f>IF(F144+SUM(E$100:E144)=D$93,F144,D$93-SUM(E$100:E144))</f>
        <v>0</v>
      </c>
      <c r="E145" s="402">
        <f t="shared" si="15"/>
        <v>0</v>
      </c>
      <c r="F145" s="161">
        <f t="shared" si="16"/>
        <v>0</v>
      </c>
      <c r="G145" s="161">
        <f t="shared" si="17"/>
        <v>0</v>
      </c>
      <c r="H145" s="403">
        <f t="shared" si="18"/>
        <v>0</v>
      </c>
      <c r="I145" s="404">
        <f t="shared" si="19"/>
        <v>0</v>
      </c>
      <c r="J145" s="160">
        <f t="shared" si="20"/>
        <v>0</v>
      </c>
      <c r="K145" s="160"/>
      <c r="L145" s="316"/>
      <c r="M145" s="160">
        <f t="shared" si="21"/>
        <v>0</v>
      </c>
      <c r="N145" s="316"/>
      <c r="O145" s="160">
        <f t="shared" si="22"/>
        <v>0</v>
      </c>
      <c r="P145" s="160">
        <f t="shared" si="23"/>
        <v>0</v>
      </c>
      <c r="Q145" s="1"/>
      <c r="R145" s="1"/>
      <c r="S145" s="1"/>
      <c r="T145" s="1"/>
      <c r="U145" s="1"/>
    </row>
    <row r="146" spans="2:21">
      <c r="B146" t="str">
        <f t="shared" si="14"/>
        <v/>
      </c>
      <c r="C146" s="155">
        <f>IF(D94="","-",+C145+1)</f>
        <v>2059</v>
      </c>
      <c r="D146" s="156">
        <f>IF(F145+SUM(E$100:E145)=D$93,F145,D$93-SUM(E$100:E145))</f>
        <v>0</v>
      </c>
      <c r="E146" s="402">
        <f t="shared" si="15"/>
        <v>0</v>
      </c>
      <c r="F146" s="161">
        <f t="shared" si="16"/>
        <v>0</v>
      </c>
      <c r="G146" s="161">
        <f t="shared" si="17"/>
        <v>0</v>
      </c>
      <c r="H146" s="403">
        <f t="shared" si="18"/>
        <v>0</v>
      </c>
      <c r="I146" s="404">
        <f t="shared" si="19"/>
        <v>0</v>
      </c>
      <c r="J146" s="160">
        <f t="shared" si="20"/>
        <v>0</v>
      </c>
      <c r="K146" s="160"/>
      <c r="L146" s="316"/>
      <c r="M146" s="160">
        <f t="shared" si="21"/>
        <v>0</v>
      </c>
      <c r="N146" s="316"/>
      <c r="O146" s="160">
        <f t="shared" si="22"/>
        <v>0</v>
      </c>
      <c r="P146" s="160">
        <f t="shared" si="23"/>
        <v>0</v>
      </c>
      <c r="Q146" s="1"/>
      <c r="R146" s="1"/>
      <c r="S146" s="1"/>
      <c r="T146" s="1"/>
      <c r="U146" s="1"/>
    </row>
    <row r="147" spans="2:21">
      <c r="B147" t="str">
        <f t="shared" si="14"/>
        <v/>
      </c>
      <c r="C147" s="155">
        <f>IF(D94="","-",+C146+1)</f>
        <v>2060</v>
      </c>
      <c r="D147" s="156">
        <f>IF(F146+SUM(E$100:E146)=D$93,F146,D$93-SUM(E$100:E146))</f>
        <v>0</v>
      </c>
      <c r="E147" s="402">
        <f t="shared" si="15"/>
        <v>0</v>
      </c>
      <c r="F147" s="161">
        <f t="shared" si="16"/>
        <v>0</v>
      </c>
      <c r="G147" s="161">
        <f t="shared" si="17"/>
        <v>0</v>
      </c>
      <c r="H147" s="403">
        <f t="shared" si="18"/>
        <v>0</v>
      </c>
      <c r="I147" s="404">
        <f t="shared" si="19"/>
        <v>0</v>
      </c>
      <c r="J147" s="160">
        <f t="shared" si="20"/>
        <v>0</v>
      </c>
      <c r="K147" s="160"/>
      <c r="L147" s="316"/>
      <c r="M147" s="160">
        <f t="shared" si="21"/>
        <v>0</v>
      </c>
      <c r="N147" s="316"/>
      <c r="O147" s="160">
        <f t="shared" si="22"/>
        <v>0</v>
      </c>
      <c r="P147" s="160">
        <f t="shared" si="23"/>
        <v>0</v>
      </c>
      <c r="Q147" s="1"/>
      <c r="R147" s="1"/>
      <c r="S147" s="1"/>
      <c r="T147" s="1"/>
      <c r="U147" s="1"/>
    </row>
    <row r="148" spans="2:21">
      <c r="B148" t="str">
        <f t="shared" si="14"/>
        <v/>
      </c>
      <c r="C148" s="155">
        <f>IF(D94="","-",+C147+1)</f>
        <v>2061</v>
      </c>
      <c r="D148" s="156">
        <f>IF(F147+SUM(E$100:E147)=D$93,F147,D$93-SUM(E$100:E147))</f>
        <v>0</v>
      </c>
      <c r="E148" s="402">
        <f t="shared" si="15"/>
        <v>0</v>
      </c>
      <c r="F148" s="161">
        <f t="shared" si="16"/>
        <v>0</v>
      </c>
      <c r="G148" s="161">
        <f t="shared" si="17"/>
        <v>0</v>
      </c>
      <c r="H148" s="403">
        <f t="shared" si="18"/>
        <v>0</v>
      </c>
      <c r="I148" s="404">
        <f t="shared" si="19"/>
        <v>0</v>
      </c>
      <c r="J148" s="160">
        <f t="shared" si="20"/>
        <v>0</v>
      </c>
      <c r="K148" s="160"/>
      <c r="L148" s="316"/>
      <c r="M148" s="160">
        <f t="shared" si="21"/>
        <v>0</v>
      </c>
      <c r="N148" s="316"/>
      <c r="O148" s="160">
        <f t="shared" si="22"/>
        <v>0</v>
      </c>
      <c r="P148" s="160">
        <f t="shared" si="23"/>
        <v>0</v>
      </c>
      <c r="Q148" s="1"/>
      <c r="R148" s="1"/>
      <c r="S148" s="1"/>
      <c r="T148" s="1"/>
      <c r="U148" s="1"/>
    </row>
    <row r="149" spans="2:21">
      <c r="B149" t="str">
        <f t="shared" si="14"/>
        <v/>
      </c>
      <c r="C149" s="155">
        <f>IF(D94="","-",+C148+1)</f>
        <v>2062</v>
      </c>
      <c r="D149" s="156">
        <f>IF(F148+SUM(E$100:E148)=D$93,F148,D$93-SUM(E$100:E148))</f>
        <v>0</v>
      </c>
      <c r="E149" s="402">
        <f t="shared" si="15"/>
        <v>0</v>
      </c>
      <c r="F149" s="161">
        <f t="shared" si="16"/>
        <v>0</v>
      </c>
      <c r="G149" s="161">
        <f t="shared" si="17"/>
        <v>0</v>
      </c>
      <c r="H149" s="403">
        <f t="shared" si="18"/>
        <v>0</v>
      </c>
      <c r="I149" s="404">
        <f t="shared" si="19"/>
        <v>0</v>
      </c>
      <c r="J149" s="160">
        <f t="shared" si="20"/>
        <v>0</v>
      </c>
      <c r="K149" s="160"/>
      <c r="L149" s="316"/>
      <c r="M149" s="160">
        <f t="shared" si="21"/>
        <v>0</v>
      </c>
      <c r="N149" s="316"/>
      <c r="O149" s="160">
        <f t="shared" si="22"/>
        <v>0</v>
      </c>
      <c r="P149" s="160">
        <f t="shared" si="23"/>
        <v>0</v>
      </c>
      <c r="Q149" s="1"/>
      <c r="R149" s="1"/>
      <c r="S149" s="1"/>
      <c r="T149" s="1"/>
      <c r="U149" s="1"/>
    </row>
    <row r="150" spans="2:21">
      <c r="B150" t="str">
        <f t="shared" si="14"/>
        <v/>
      </c>
      <c r="C150" s="155">
        <f>IF(D94="","-",+C149+1)</f>
        <v>2063</v>
      </c>
      <c r="D150" s="156">
        <f>IF(F149+SUM(E$100:E149)=D$93,F149,D$93-SUM(E$100:E149))</f>
        <v>0</v>
      </c>
      <c r="E150" s="402">
        <f t="shared" si="15"/>
        <v>0</v>
      </c>
      <c r="F150" s="161">
        <f t="shared" si="16"/>
        <v>0</v>
      </c>
      <c r="G150" s="161">
        <f t="shared" si="17"/>
        <v>0</v>
      </c>
      <c r="H150" s="403">
        <f t="shared" si="18"/>
        <v>0</v>
      </c>
      <c r="I150" s="404">
        <f t="shared" si="19"/>
        <v>0</v>
      </c>
      <c r="J150" s="160">
        <f t="shared" si="20"/>
        <v>0</v>
      </c>
      <c r="K150" s="160"/>
      <c r="L150" s="316"/>
      <c r="M150" s="160">
        <f t="shared" si="21"/>
        <v>0</v>
      </c>
      <c r="N150" s="316"/>
      <c r="O150" s="160">
        <f t="shared" si="22"/>
        <v>0</v>
      </c>
      <c r="P150" s="160">
        <f t="shared" si="23"/>
        <v>0</v>
      </c>
      <c r="Q150" s="1"/>
      <c r="R150" s="1"/>
      <c r="S150" s="1"/>
      <c r="T150" s="1"/>
      <c r="U150" s="1"/>
    </row>
    <row r="151" spans="2:21">
      <c r="B151" t="str">
        <f t="shared" si="14"/>
        <v/>
      </c>
      <c r="C151" s="155">
        <f>IF(D94="","-",+C150+1)</f>
        <v>2064</v>
      </c>
      <c r="D151" s="156">
        <f>IF(F150+SUM(E$100:E150)=D$93,F150,D$93-SUM(E$100:E150))</f>
        <v>0</v>
      </c>
      <c r="E151" s="402">
        <f t="shared" si="15"/>
        <v>0</v>
      </c>
      <c r="F151" s="161">
        <f t="shared" si="16"/>
        <v>0</v>
      </c>
      <c r="G151" s="161">
        <f t="shared" si="17"/>
        <v>0</v>
      </c>
      <c r="H151" s="403">
        <f t="shared" si="18"/>
        <v>0</v>
      </c>
      <c r="I151" s="404">
        <f t="shared" si="19"/>
        <v>0</v>
      </c>
      <c r="J151" s="160">
        <f t="shared" si="20"/>
        <v>0</v>
      </c>
      <c r="K151" s="160"/>
      <c r="L151" s="316"/>
      <c r="M151" s="160">
        <f t="shared" si="21"/>
        <v>0</v>
      </c>
      <c r="N151" s="316"/>
      <c r="O151" s="160">
        <f t="shared" si="22"/>
        <v>0</v>
      </c>
      <c r="P151" s="160">
        <f t="shared" si="23"/>
        <v>0</v>
      </c>
      <c r="Q151" s="1"/>
      <c r="R151" s="1"/>
      <c r="S151" s="1"/>
      <c r="T151" s="1"/>
      <c r="U151" s="1"/>
    </row>
    <row r="152" spans="2:21">
      <c r="B152" t="str">
        <f t="shared" si="14"/>
        <v/>
      </c>
      <c r="C152" s="155">
        <f>IF(D94="","-",+C151+1)</f>
        <v>2065</v>
      </c>
      <c r="D152" s="156">
        <f>IF(F151+SUM(E$100:E151)=D$93,F151,D$93-SUM(E$100:E151))</f>
        <v>0</v>
      </c>
      <c r="E152" s="402">
        <f t="shared" si="15"/>
        <v>0</v>
      </c>
      <c r="F152" s="161">
        <f t="shared" si="16"/>
        <v>0</v>
      </c>
      <c r="G152" s="161">
        <f t="shared" si="17"/>
        <v>0</v>
      </c>
      <c r="H152" s="403">
        <f t="shared" si="18"/>
        <v>0</v>
      </c>
      <c r="I152" s="404">
        <f t="shared" si="19"/>
        <v>0</v>
      </c>
      <c r="J152" s="160">
        <f t="shared" si="20"/>
        <v>0</v>
      </c>
      <c r="K152" s="160"/>
      <c r="L152" s="316"/>
      <c r="M152" s="160">
        <f t="shared" si="21"/>
        <v>0</v>
      </c>
      <c r="N152" s="316"/>
      <c r="O152" s="160">
        <f t="shared" si="22"/>
        <v>0</v>
      </c>
      <c r="P152" s="160">
        <f t="shared" si="23"/>
        <v>0</v>
      </c>
      <c r="Q152" s="1"/>
      <c r="R152" s="1"/>
      <c r="S152" s="1"/>
      <c r="T152" s="1"/>
      <c r="U152" s="1"/>
    </row>
    <row r="153" spans="2:21">
      <c r="B153" t="str">
        <f t="shared" si="14"/>
        <v/>
      </c>
      <c r="C153" s="155">
        <f>IF(D94="","-",+C152+1)</f>
        <v>2066</v>
      </c>
      <c r="D153" s="156">
        <f>IF(F152+SUM(E$100:E152)=D$93,F152,D$93-SUM(E$100:E152))</f>
        <v>0</v>
      </c>
      <c r="E153" s="402">
        <f t="shared" si="15"/>
        <v>0</v>
      </c>
      <c r="F153" s="161">
        <f t="shared" si="16"/>
        <v>0</v>
      </c>
      <c r="G153" s="161">
        <f t="shared" si="17"/>
        <v>0</v>
      </c>
      <c r="H153" s="403">
        <f t="shared" si="18"/>
        <v>0</v>
      </c>
      <c r="I153" s="404">
        <f t="shared" si="19"/>
        <v>0</v>
      </c>
      <c r="J153" s="160">
        <f t="shared" si="20"/>
        <v>0</v>
      </c>
      <c r="K153" s="160"/>
      <c r="L153" s="316"/>
      <c r="M153" s="160">
        <f t="shared" si="21"/>
        <v>0</v>
      </c>
      <c r="N153" s="316"/>
      <c r="O153" s="160">
        <f t="shared" si="22"/>
        <v>0</v>
      </c>
      <c r="P153" s="160">
        <f t="shared" si="23"/>
        <v>0</v>
      </c>
      <c r="Q153" s="1"/>
      <c r="R153" s="1"/>
      <c r="S153" s="1"/>
      <c r="T153" s="1"/>
      <c r="U153" s="1"/>
    </row>
    <row r="154" spans="2:21">
      <c r="B154" t="str">
        <f t="shared" si="14"/>
        <v/>
      </c>
      <c r="C154" s="155">
        <f>IF(D94="","-",+C153+1)</f>
        <v>2067</v>
      </c>
      <c r="D154" s="156">
        <f>IF(F153+SUM(E$100:E153)=D$93,F153,D$93-SUM(E$100:E153))</f>
        <v>0</v>
      </c>
      <c r="E154" s="402">
        <f t="shared" si="15"/>
        <v>0</v>
      </c>
      <c r="F154" s="161">
        <f t="shared" si="16"/>
        <v>0</v>
      </c>
      <c r="G154" s="161">
        <f t="shared" si="17"/>
        <v>0</v>
      </c>
      <c r="H154" s="403">
        <f t="shared" si="18"/>
        <v>0</v>
      </c>
      <c r="I154" s="404">
        <f t="shared" si="19"/>
        <v>0</v>
      </c>
      <c r="J154" s="160">
        <f t="shared" si="20"/>
        <v>0</v>
      </c>
      <c r="K154" s="160"/>
      <c r="L154" s="316"/>
      <c r="M154" s="160">
        <f t="shared" si="21"/>
        <v>0</v>
      </c>
      <c r="N154" s="316"/>
      <c r="O154" s="160">
        <f t="shared" si="22"/>
        <v>0</v>
      </c>
      <c r="P154" s="160">
        <f t="shared" si="23"/>
        <v>0</v>
      </c>
      <c r="Q154" s="1"/>
      <c r="R154" s="1"/>
      <c r="S154" s="1"/>
      <c r="T154" s="1"/>
      <c r="U154" s="1"/>
    </row>
    <row r="155" spans="2:21" ht="13.5" thickBot="1">
      <c r="B155" t="str">
        <f t="shared" si="14"/>
        <v/>
      </c>
      <c r="C155" s="166">
        <f>IF(D94="","-",+C154+1)</f>
        <v>2068</v>
      </c>
      <c r="D155" s="399">
        <f>IF(F154+SUM(E$100:E154)=D$93,F154,D$93-SUM(E$100:E154))</f>
        <v>0</v>
      </c>
      <c r="E155" s="405">
        <f t="shared" si="15"/>
        <v>0</v>
      </c>
      <c r="F155" s="167">
        <f t="shared" si="16"/>
        <v>0</v>
      </c>
      <c r="G155" s="167">
        <f t="shared" si="17"/>
        <v>0</v>
      </c>
      <c r="H155" s="406">
        <f t="shared" si="18"/>
        <v>0</v>
      </c>
      <c r="I155" s="407">
        <f t="shared" si="19"/>
        <v>0</v>
      </c>
      <c r="J155" s="171">
        <f t="shared" si="20"/>
        <v>0</v>
      </c>
      <c r="K155" s="160"/>
      <c r="L155" s="317"/>
      <c r="M155" s="171">
        <f t="shared" si="21"/>
        <v>0</v>
      </c>
      <c r="N155" s="317"/>
      <c r="O155" s="171">
        <f t="shared" si="22"/>
        <v>0</v>
      </c>
      <c r="P155" s="171">
        <f t="shared" si="23"/>
        <v>0</v>
      </c>
      <c r="Q155" s="1"/>
      <c r="R155" s="1"/>
      <c r="S155" s="1"/>
      <c r="T155" s="1"/>
      <c r="U155" s="1"/>
    </row>
    <row r="156" spans="2:21">
      <c r="C156" s="156" t="s">
        <v>75</v>
      </c>
      <c r="D156" s="112"/>
      <c r="E156" s="112">
        <f>SUM(E100:E155)</f>
        <v>4817114</v>
      </c>
      <c r="F156" s="112"/>
      <c r="G156" s="112"/>
      <c r="H156" s="112">
        <f>SUM(H100:H155)</f>
        <v>14352082.219586398</v>
      </c>
      <c r="I156" s="112">
        <f>SUM(I100:I155)</f>
        <v>14352082.219586398</v>
      </c>
      <c r="J156" s="112">
        <f>SUM(J100:J155)</f>
        <v>0</v>
      </c>
      <c r="K156" s="112"/>
      <c r="L156" s="112"/>
      <c r="M156" s="112"/>
      <c r="N156" s="112"/>
      <c r="O156" s="112"/>
      <c r="P156" s="1"/>
      <c r="Q156" s="1"/>
      <c r="R156" s="1"/>
      <c r="S156" s="1"/>
      <c r="T156" s="1"/>
      <c r="U156" s="1"/>
    </row>
    <row r="157" spans="2:21">
      <c r="C157" t="s">
        <v>90</v>
      </c>
      <c r="D157" s="2"/>
      <c r="E157" s="1"/>
      <c r="F157" s="1"/>
      <c r="G157" s="1"/>
      <c r="H157" s="1"/>
      <c r="I157" s="3"/>
      <c r="J157" s="3"/>
      <c r="K157" s="112"/>
      <c r="L157" s="3"/>
      <c r="M157" s="3"/>
      <c r="N157" s="3"/>
      <c r="O157" s="3"/>
      <c r="P157" s="1"/>
      <c r="Q157" s="1"/>
      <c r="R157" s="1"/>
      <c r="S157" s="1"/>
      <c r="T157" s="1"/>
      <c r="U157" s="1"/>
    </row>
    <row r="158" spans="2:21">
      <c r="C158" s="215"/>
      <c r="D158" s="2"/>
      <c r="E158" s="1"/>
      <c r="F158" s="1"/>
      <c r="G158" s="1"/>
      <c r="H158" s="1"/>
      <c r="I158" s="3"/>
      <c r="J158" s="3"/>
      <c r="K158" s="112"/>
      <c r="L158" s="3"/>
      <c r="M158" s="3"/>
      <c r="N158" s="3"/>
      <c r="O158" s="3"/>
      <c r="P158" s="1"/>
      <c r="Q158" s="1"/>
      <c r="R158" s="1"/>
      <c r="S158" s="1"/>
      <c r="T158" s="1"/>
      <c r="U158" s="1"/>
    </row>
    <row r="159" spans="2:21">
      <c r="C159" s="245" t="s">
        <v>130</v>
      </c>
      <c r="D159" s="2"/>
      <c r="E159" s="1"/>
      <c r="F159" s="1"/>
      <c r="G159" s="1"/>
      <c r="H159" s="1"/>
      <c r="I159" s="3"/>
      <c r="J159" s="3"/>
      <c r="K159" s="112"/>
      <c r="L159" s="3"/>
      <c r="M159" s="3"/>
      <c r="N159" s="3"/>
      <c r="O159" s="3"/>
      <c r="P159" s="1"/>
      <c r="Q159" s="1"/>
      <c r="R159" s="1"/>
      <c r="S159" s="1"/>
      <c r="T159" s="1"/>
      <c r="U159" s="1"/>
    </row>
    <row r="160" spans="2: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23" priority="1" stopIfTrue="1" operator="equal">
      <formula>$I$10</formula>
    </cfRule>
  </conditionalFormatting>
  <conditionalFormatting sqref="C100:C155">
    <cfRule type="cellIs" dxfId="2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U163"/>
  <sheetViews>
    <sheetView view="pageBreakPreview" zoomScale="78" zoomScaleNormal="100" zoomScaleSheetLayoutView="78" workbookViewId="0">
      <selection activeCell="D11" sqref="D11"/>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"&amp;RIGHT(MID(CELL("filename",$A$1),FIND("]",CELL("filename",$A$1))+1,256),2)&amp;" of "&amp;COUNT('OKT.001:OKT.xyz - blank'!$P$3)-1</f>
        <v>OKT Project 14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9552229.3614855185</v>
      </c>
      <c r="P5" s="1"/>
      <c r="R5" s="1"/>
      <c r="S5" s="1"/>
      <c r="T5" s="1"/>
      <c r="U5" s="1"/>
    </row>
    <row r="6" spans="1:21" ht="15.75">
      <c r="C6" s="8"/>
      <c r="D6" s="2"/>
      <c r="E6" s="1"/>
      <c r="F6" s="1"/>
      <c r="G6" s="1"/>
      <c r="H6" s="119"/>
      <c r="I6" s="119"/>
      <c r="J6" s="120"/>
      <c r="K6" s="121" t="s">
        <v>243</v>
      </c>
      <c r="L6" s="122"/>
      <c r="M6" s="4"/>
      <c r="N6" s="123">
        <f>VLOOKUP(I10,C17:I73,6)</f>
        <v>9552229.3614855185</v>
      </c>
      <c r="O6" s="1"/>
      <c r="P6" s="1"/>
      <c r="R6" s="1"/>
      <c r="S6" s="1"/>
      <c r="T6" s="1"/>
      <c r="U6" s="1"/>
    </row>
    <row r="7" spans="1:21" ht="13.5" thickBot="1">
      <c r="C7" s="124" t="s">
        <v>46</v>
      </c>
      <c r="D7" s="222" t="s">
        <v>234</v>
      </c>
      <c r="E7" s="222"/>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C9" s="130" t="s">
        <v>48</v>
      </c>
      <c r="D9" s="224" t="s">
        <v>235</v>
      </c>
      <c r="E9" s="131"/>
      <c r="F9" s="131"/>
      <c r="G9" s="131"/>
      <c r="H9" s="131"/>
      <c r="I9" s="132"/>
      <c r="J9" s="133"/>
      <c r="O9" s="134"/>
      <c r="P9" s="4"/>
      <c r="R9" s="1"/>
      <c r="S9" s="1"/>
      <c r="T9" s="1"/>
      <c r="U9" s="1"/>
    </row>
    <row r="10" spans="1:21">
      <c r="C10" s="135" t="s">
        <v>49</v>
      </c>
      <c r="D10" s="136">
        <v>69121596</v>
      </c>
      <c r="E10" s="63" t="s">
        <v>50</v>
      </c>
      <c r="F10" s="134"/>
      <c r="G10" s="137"/>
      <c r="H10" s="137"/>
      <c r="I10" s="138">
        <f>+OKT.WS.F.BPU.ATRR.Projected!R100</f>
        <v>2018</v>
      </c>
      <c r="J10" s="133"/>
      <c r="K10" s="112" t="s">
        <v>51</v>
      </c>
      <c r="O10" s="4"/>
      <c r="P10" s="4"/>
      <c r="R10" s="1"/>
      <c r="S10" s="1"/>
      <c r="T10" s="1"/>
      <c r="U10" s="1"/>
    </row>
    <row r="11" spans="1:21">
      <c r="C11" s="139" t="s">
        <v>52</v>
      </c>
      <c r="D11" s="140">
        <v>2016</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12</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1695178.2446698518</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c r="R16" s="1"/>
      <c r="S16" s="1"/>
      <c r="T16" s="1"/>
      <c r="U16" s="1"/>
    </row>
    <row r="17" spans="3:21">
      <c r="C17" s="155">
        <f>IF(D11= "","-",D11)</f>
        <v>2016</v>
      </c>
      <c r="D17" s="392">
        <v>3408237</v>
      </c>
      <c r="E17" s="400">
        <v>41312.427614067317</v>
      </c>
      <c r="F17" s="392">
        <v>3366924.5723859328</v>
      </c>
      <c r="G17" s="400">
        <v>283462.47353390156</v>
      </c>
      <c r="H17" s="398">
        <v>283462.47353390156</v>
      </c>
      <c r="I17" s="158">
        <f t="shared" ref="I17:I73" si="0">H17-G17</f>
        <v>0</v>
      </c>
      <c r="J17" s="158"/>
      <c r="K17" s="318">
        <f>G17</f>
        <v>283462.47353390156</v>
      </c>
      <c r="L17" s="340">
        <f>IF(K17&lt;&gt;0,+G17-K17,0)</f>
        <v>0</v>
      </c>
      <c r="M17" s="318">
        <f>H17</f>
        <v>283462.47353390156</v>
      </c>
      <c r="N17" s="159">
        <f t="shared" ref="N17:N73" si="1">IF(M17&lt;&gt;0,+H17-M17,0)</f>
        <v>0</v>
      </c>
      <c r="O17" s="160">
        <f t="shared" ref="O17:O73" si="2">+N17-L17</f>
        <v>0</v>
      </c>
      <c r="P17" s="4"/>
      <c r="R17" s="1"/>
      <c r="S17" s="1"/>
      <c r="T17" s="1"/>
      <c r="U17" s="1"/>
    </row>
    <row r="18" spans="3:21">
      <c r="C18" s="155">
        <f>IF(D11="","-",+C17+1)</f>
        <v>2017</v>
      </c>
      <c r="D18" s="394">
        <v>69080283.572385937</v>
      </c>
      <c r="E18" s="393">
        <v>1359067.4231693465</v>
      </c>
      <c r="F18" s="394">
        <v>67721216.149216592</v>
      </c>
      <c r="G18" s="393">
        <v>8879043.9719662741</v>
      </c>
      <c r="H18" s="398">
        <v>8879043.9719662741</v>
      </c>
      <c r="I18" s="158">
        <f t="shared" si="0"/>
        <v>0</v>
      </c>
      <c r="J18" s="158"/>
      <c r="K18" s="355">
        <f>G18</f>
        <v>8879043.9719662741</v>
      </c>
      <c r="L18" s="360">
        <f>IF(K18&lt;&gt;0,+G18-K18,0)</f>
        <v>0</v>
      </c>
      <c r="M18" s="355">
        <f>H18</f>
        <v>8879043.9719662741</v>
      </c>
      <c r="N18" s="160">
        <f>IF(M18&lt;&gt;0,+H18-M18,0)</f>
        <v>0</v>
      </c>
      <c r="O18" s="160">
        <f>+N18-L18</f>
        <v>0</v>
      </c>
      <c r="P18" s="4"/>
      <c r="R18" s="1"/>
      <c r="S18" s="1"/>
      <c r="T18" s="1"/>
      <c r="U18" s="1"/>
    </row>
    <row r="19" spans="3:21">
      <c r="C19" s="155">
        <f>IF(D11="","-",+C18+1)</f>
        <v>2018</v>
      </c>
      <c r="D19" s="394">
        <v>67721216.149216592</v>
      </c>
      <c r="E19" s="393">
        <v>1695178.2446698518</v>
      </c>
      <c r="F19" s="394">
        <v>66026037.904546738</v>
      </c>
      <c r="G19" s="393">
        <v>9552229.3614855185</v>
      </c>
      <c r="H19" s="398">
        <v>9552229.3614855185</v>
      </c>
      <c r="I19" s="158">
        <f t="shared" si="0"/>
        <v>0</v>
      </c>
      <c r="J19" s="158"/>
      <c r="K19" s="355">
        <f>G19</f>
        <v>9552229.3614855185</v>
      </c>
      <c r="L19" s="360">
        <f>IF(K19&lt;&gt;0,+G19-K19,0)</f>
        <v>0</v>
      </c>
      <c r="M19" s="355">
        <f>H19</f>
        <v>9552229.3614855185</v>
      </c>
      <c r="N19" s="160">
        <f>IF(M19&lt;&gt;0,+H19-M19,0)</f>
        <v>0</v>
      </c>
      <c r="O19" s="160">
        <f>+N19-L19</f>
        <v>0</v>
      </c>
      <c r="P19" s="4"/>
      <c r="R19" s="1"/>
      <c r="S19" s="1"/>
      <c r="T19" s="1"/>
      <c r="U19" s="1"/>
    </row>
    <row r="20" spans="3:21">
      <c r="C20" s="155">
        <f>IF(D11="","-",+C19+1)</f>
        <v>2019</v>
      </c>
      <c r="D20" s="161">
        <f>IF(F19+SUM(E$17:E19)=D$10,F19,D$10-SUM(E$17:E19))</f>
        <v>66026037.904546738</v>
      </c>
      <c r="E20" s="162">
        <f>IF(+I14&lt;F19,I14,D20)</f>
        <v>1695178.2446698518</v>
      </c>
      <c r="F20" s="161">
        <f t="shared" ref="F20:F73" si="3">+D20-E20</f>
        <v>64330859.659876883</v>
      </c>
      <c r="G20" s="163">
        <f t="shared" ref="G20:G73" si="4">(D20+F20)/2*I$12+E20</f>
        <v>9353061.1286165137</v>
      </c>
      <c r="H20" s="145">
        <f t="shared" ref="H20:H73" si="5">+(D20+F20)/2*I$13+E20</f>
        <v>9353061.1286165137</v>
      </c>
      <c r="I20" s="158">
        <f t="shared" si="0"/>
        <v>0</v>
      </c>
      <c r="J20" s="158"/>
      <c r="K20" s="316"/>
      <c r="L20" s="160">
        <f t="shared" ref="L20:L73" si="6">IF(K20&lt;&gt;0,+G20-K20,0)</f>
        <v>0</v>
      </c>
      <c r="M20" s="316"/>
      <c r="N20" s="160">
        <f t="shared" si="1"/>
        <v>0</v>
      </c>
      <c r="O20" s="160">
        <f t="shared" si="2"/>
        <v>0</v>
      </c>
      <c r="P20" s="4"/>
      <c r="R20" s="1"/>
      <c r="S20" s="1"/>
      <c r="T20" s="1"/>
      <c r="U20" s="1"/>
    </row>
    <row r="21" spans="3:21">
      <c r="C21" s="155">
        <f>IF(D11="","-",+C20+1)</f>
        <v>2020</v>
      </c>
      <c r="D21" s="161">
        <f>IF(F20+SUM(E$17:E20)=D$10,F20,D$10-SUM(E$17:E20))</f>
        <v>64330859.659876883</v>
      </c>
      <c r="E21" s="162">
        <f>IF(+I14&lt;F20,I14,D21)</f>
        <v>1695178.2446698518</v>
      </c>
      <c r="F21" s="161">
        <f t="shared" si="3"/>
        <v>62635681.415207028</v>
      </c>
      <c r="G21" s="163">
        <f t="shared" si="4"/>
        <v>9153892.8957475089</v>
      </c>
      <c r="H21" s="145">
        <f t="shared" si="5"/>
        <v>9153892.8957475089</v>
      </c>
      <c r="I21" s="158">
        <f t="shared" si="0"/>
        <v>0</v>
      </c>
      <c r="J21" s="158"/>
      <c r="K21" s="316"/>
      <c r="L21" s="160">
        <f t="shared" si="6"/>
        <v>0</v>
      </c>
      <c r="M21" s="316"/>
      <c r="N21" s="160">
        <f t="shared" si="1"/>
        <v>0</v>
      </c>
      <c r="O21" s="160">
        <f t="shared" si="2"/>
        <v>0</v>
      </c>
      <c r="P21" s="4"/>
      <c r="R21" s="1"/>
      <c r="S21" s="1"/>
      <c r="T21" s="1"/>
      <c r="U21" s="1"/>
    </row>
    <row r="22" spans="3:21">
      <c r="C22" s="155">
        <f>IF(D11="","-",+C21+1)</f>
        <v>2021</v>
      </c>
      <c r="D22" s="161">
        <f>IF(F21+SUM(E$17:E21)=D$10,F21,D$10-SUM(E$17:E21))</f>
        <v>62635681.415207028</v>
      </c>
      <c r="E22" s="162">
        <f>IF(+I14&lt;F21,I14,D22)</f>
        <v>1695178.2446698518</v>
      </c>
      <c r="F22" s="161">
        <f t="shared" si="3"/>
        <v>60940503.170537174</v>
      </c>
      <c r="G22" s="163">
        <f t="shared" si="4"/>
        <v>8954724.6628785059</v>
      </c>
      <c r="H22" s="145">
        <f t="shared" si="5"/>
        <v>8954724.6628785059</v>
      </c>
      <c r="I22" s="158">
        <f t="shared" si="0"/>
        <v>0</v>
      </c>
      <c r="J22" s="158"/>
      <c r="K22" s="316"/>
      <c r="L22" s="160">
        <f t="shared" si="6"/>
        <v>0</v>
      </c>
      <c r="M22" s="316"/>
      <c r="N22" s="160">
        <f t="shared" si="1"/>
        <v>0</v>
      </c>
      <c r="O22" s="160">
        <f t="shared" si="2"/>
        <v>0</v>
      </c>
      <c r="P22" s="4"/>
      <c r="R22" s="1"/>
      <c r="S22" s="1"/>
      <c r="T22" s="1"/>
      <c r="U22" s="1"/>
    </row>
    <row r="23" spans="3:21">
      <c r="C23" s="155">
        <f>IF(D11="","-",+C22+1)</f>
        <v>2022</v>
      </c>
      <c r="D23" s="161">
        <f>IF(F22+SUM(E$17:E22)=D$10,F22,D$10-SUM(E$17:E22))</f>
        <v>60940503.170537174</v>
      </c>
      <c r="E23" s="162">
        <f>IF(+I14&lt;F22,I14,D23)</f>
        <v>1695178.2446698518</v>
      </c>
      <c r="F23" s="161">
        <f t="shared" si="3"/>
        <v>59245324.925867319</v>
      </c>
      <c r="G23" s="163">
        <f t="shared" si="4"/>
        <v>8755556.4300095011</v>
      </c>
      <c r="H23" s="145">
        <f t="shared" si="5"/>
        <v>8755556.4300095011</v>
      </c>
      <c r="I23" s="158">
        <f t="shared" si="0"/>
        <v>0</v>
      </c>
      <c r="J23" s="158"/>
      <c r="K23" s="316"/>
      <c r="L23" s="160">
        <f t="shared" si="6"/>
        <v>0</v>
      </c>
      <c r="M23" s="316"/>
      <c r="N23" s="160">
        <f t="shared" si="1"/>
        <v>0</v>
      </c>
      <c r="O23" s="160">
        <f t="shared" si="2"/>
        <v>0</v>
      </c>
      <c r="P23" s="4"/>
      <c r="R23" s="1"/>
      <c r="S23" s="1"/>
      <c r="T23" s="1"/>
      <c r="U23" s="1"/>
    </row>
    <row r="24" spans="3:21">
      <c r="C24" s="155">
        <f>IF(D11="","-",+C23+1)</f>
        <v>2023</v>
      </c>
      <c r="D24" s="161">
        <f>IF(F23+SUM(E$17:E23)=D$10,F23,D$10-SUM(E$17:E23))</f>
        <v>59245324.925867319</v>
      </c>
      <c r="E24" s="162">
        <f>IF(+I14&lt;F23,I14,D24)</f>
        <v>1695178.2446698518</v>
      </c>
      <c r="F24" s="161">
        <f t="shared" si="3"/>
        <v>57550146.681197464</v>
      </c>
      <c r="G24" s="163">
        <f t="shared" si="4"/>
        <v>8556388.1971404962</v>
      </c>
      <c r="H24" s="145">
        <f t="shared" si="5"/>
        <v>8556388.1971404962</v>
      </c>
      <c r="I24" s="158">
        <f t="shared" si="0"/>
        <v>0</v>
      </c>
      <c r="J24" s="158"/>
      <c r="K24" s="316"/>
      <c r="L24" s="160">
        <f t="shared" si="6"/>
        <v>0</v>
      </c>
      <c r="M24" s="316"/>
      <c r="N24" s="160">
        <f t="shared" si="1"/>
        <v>0</v>
      </c>
      <c r="O24" s="160">
        <f t="shared" si="2"/>
        <v>0</v>
      </c>
      <c r="P24" s="4"/>
      <c r="R24" s="1"/>
      <c r="S24" s="1"/>
      <c r="T24" s="1"/>
      <c r="U24" s="1"/>
    </row>
    <row r="25" spans="3:21">
      <c r="C25" s="155">
        <f>IF(D11="","-",+C24+1)</f>
        <v>2024</v>
      </c>
      <c r="D25" s="161">
        <f>IF(F24+SUM(E$17:E24)=D$10,F24,D$10-SUM(E$17:E24))</f>
        <v>57550146.681197464</v>
      </c>
      <c r="E25" s="162">
        <f>IF(+I14&lt;F24,I14,D25)</f>
        <v>1695178.2446698518</v>
      </c>
      <c r="F25" s="161">
        <f t="shared" si="3"/>
        <v>55854968.43652761</v>
      </c>
      <c r="G25" s="163">
        <f t="shared" si="4"/>
        <v>8357219.9642714933</v>
      </c>
      <c r="H25" s="145">
        <f t="shared" si="5"/>
        <v>8357219.9642714933</v>
      </c>
      <c r="I25" s="158">
        <f t="shared" si="0"/>
        <v>0</v>
      </c>
      <c r="J25" s="158"/>
      <c r="K25" s="316"/>
      <c r="L25" s="160">
        <f t="shared" si="6"/>
        <v>0</v>
      </c>
      <c r="M25" s="316"/>
      <c r="N25" s="160">
        <f t="shared" si="1"/>
        <v>0</v>
      </c>
      <c r="O25" s="160">
        <f t="shared" si="2"/>
        <v>0</v>
      </c>
      <c r="P25" s="4"/>
      <c r="R25" s="1"/>
      <c r="S25" s="1"/>
      <c r="T25" s="1"/>
      <c r="U25" s="1"/>
    </row>
    <row r="26" spans="3:21">
      <c r="C26" s="155">
        <f>IF(D11="","-",+C25+1)</f>
        <v>2025</v>
      </c>
      <c r="D26" s="161">
        <f>IF(F25+SUM(E$17:E25)=D$10,F25,D$10-SUM(E$17:E25))</f>
        <v>55854968.43652761</v>
      </c>
      <c r="E26" s="162">
        <f>IF(+I14&lt;F25,I14,D26)</f>
        <v>1695178.2446698518</v>
      </c>
      <c r="F26" s="161">
        <f t="shared" si="3"/>
        <v>54159790.191857755</v>
      </c>
      <c r="G26" s="163">
        <f t="shared" si="4"/>
        <v>8158051.7314024884</v>
      </c>
      <c r="H26" s="145">
        <f t="shared" si="5"/>
        <v>8158051.7314024884</v>
      </c>
      <c r="I26" s="158">
        <f t="shared" si="0"/>
        <v>0</v>
      </c>
      <c r="J26" s="158"/>
      <c r="K26" s="316"/>
      <c r="L26" s="160">
        <f t="shared" si="6"/>
        <v>0</v>
      </c>
      <c r="M26" s="316"/>
      <c r="N26" s="160">
        <f t="shared" si="1"/>
        <v>0</v>
      </c>
      <c r="O26" s="160">
        <f t="shared" si="2"/>
        <v>0</v>
      </c>
      <c r="P26" s="4"/>
      <c r="R26" s="1"/>
      <c r="S26" s="1"/>
      <c r="T26" s="1"/>
      <c r="U26" s="1"/>
    </row>
    <row r="27" spans="3:21">
      <c r="C27" s="155">
        <f>IF(D11="","-",+C26+1)</f>
        <v>2026</v>
      </c>
      <c r="D27" s="164">
        <f>IF(F26+SUM(E$17:E26)=D$10,F26,D$10-SUM(E$17:E26))</f>
        <v>54159790.191857755</v>
      </c>
      <c r="E27" s="162">
        <f>IF(+I14&lt;F26,I14,D27)</f>
        <v>1695178.2446698518</v>
      </c>
      <c r="F27" s="161">
        <f t="shared" si="3"/>
        <v>52464611.947187901</v>
      </c>
      <c r="G27" s="163">
        <f t="shared" si="4"/>
        <v>7958883.4985334845</v>
      </c>
      <c r="H27" s="145">
        <f t="shared" si="5"/>
        <v>7958883.4985334845</v>
      </c>
      <c r="I27" s="158">
        <f t="shared" si="0"/>
        <v>0</v>
      </c>
      <c r="J27" s="158"/>
      <c r="K27" s="316"/>
      <c r="L27" s="160">
        <f t="shared" si="6"/>
        <v>0</v>
      </c>
      <c r="M27" s="316"/>
      <c r="N27" s="160">
        <f t="shared" si="1"/>
        <v>0</v>
      </c>
      <c r="O27" s="160">
        <f t="shared" si="2"/>
        <v>0</v>
      </c>
      <c r="P27" s="4"/>
      <c r="R27" s="1"/>
      <c r="S27" s="1"/>
      <c r="T27" s="1"/>
      <c r="U27" s="1"/>
    </row>
    <row r="28" spans="3:21">
      <c r="C28" s="155">
        <f>IF(D11="","-",+C27+1)</f>
        <v>2027</v>
      </c>
      <c r="D28" s="161">
        <f>IF(F27+SUM(E$17:E27)=D$10,F27,D$10-SUM(E$17:E27))</f>
        <v>52464611.947187901</v>
      </c>
      <c r="E28" s="162">
        <f>IF(+I14&lt;F27,I14,D28)</f>
        <v>1695178.2446698518</v>
      </c>
      <c r="F28" s="161">
        <f t="shared" si="3"/>
        <v>50769433.702518046</v>
      </c>
      <c r="G28" s="163">
        <f t="shared" si="4"/>
        <v>7759715.2656644797</v>
      </c>
      <c r="H28" s="145">
        <f t="shared" si="5"/>
        <v>7759715.2656644797</v>
      </c>
      <c r="I28" s="158">
        <f t="shared" si="0"/>
        <v>0</v>
      </c>
      <c r="J28" s="158"/>
      <c r="K28" s="316"/>
      <c r="L28" s="160">
        <f t="shared" si="6"/>
        <v>0</v>
      </c>
      <c r="M28" s="316"/>
      <c r="N28" s="160">
        <f t="shared" si="1"/>
        <v>0</v>
      </c>
      <c r="O28" s="160">
        <f t="shared" si="2"/>
        <v>0</v>
      </c>
      <c r="P28" s="4"/>
      <c r="R28" s="1"/>
      <c r="S28" s="1"/>
      <c r="T28" s="1"/>
      <c r="U28" s="1"/>
    </row>
    <row r="29" spans="3:21">
      <c r="C29" s="155">
        <f>IF(D11="","-",+C28+1)</f>
        <v>2028</v>
      </c>
      <c r="D29" s="161">
        <f>IF(F28+SUM(E$17:E28)=D$10,F28,D$10-SUM(E$17:E28))</f>
        <v>50769433.702518046</v>
      </c>
      <c r="E29" s="162">
        <f>IF(+I14&lt;F28,I14,D29)</f>
        <v>1695178.2446698518</v>
      </c>
      <c r="F29" s="161">
        <f t="shared" si="3"/>
        <v>49074255.457848191</v>
      </c>
      <c r="G29" s="163">
        <f t="shared" si="4"/>
        <v>7560547.0327954758</v>
      </c>
      <c r="H29" s="145">
        <f t="shared" si="5"/>
        <v>7560547.0327954758</v>
      </c>
      <c r="I29" s="158">
        <f t="shared" si="0"/>
        <v>0</v>
      </c>
      <c r="J29" s="158"/>
      <c r="K29" s="316"/>
      <c r="L29" s="160">
        <f t="shared" si="6"/>
        <v>0</v>
      </c>
      <c r="M29" s="316"/>
      <c r="N29" s="160">
        <f t="shared" si="1"/>
        <v>0</v>
      </c>
      <c r="O29" s="160">
        <f t="shared" si="2"/>
        <v>0</v>
      </c>
      <c r="P29" s="4"/>
      <c r="R29" s="1"/>
      <c r="S29" s="1"/>
      <c r="T29" s="1"/>
      <c r="U29" s="1"/>
    </row>
    <row r="30" spans="3:21">
      <c r="C30" s="155">
        <f>IF(D11="","-",+C29+1)</f>
        <v>2029</v>
      </c>
      <c r="D30" s="161">
        <f>IF(F29+SUM(E$17:E29)=D$10,F29,D$10-SUM(E$17:E29))</f>
        <v>49074255.457848191</v>
      </c>
      <c r="E30" s="162">
        <f>IF(+I14&lt;F29,I14,D30)</f>
        <v>1695178.2446698518</v>
      </c>
      <c r="F30" s="161">
        <f t="shared" si="3"/>
        <v>47379077.213178337</v>
      </c>
      <c r="G30" s="163">
        <f t="shared" si="4"/>
        <v>7361378.7999264719</v>
      </c>
      <c r="H30" s="145">
        <f t="shared" si="5"/>
        <v>7361378.7999264719</v>
      </c>
      <c r="I30" s="158">
        <f t="shared" si="0"/>
        <v>0</v>
      </c>
      <c r="J30" s="158"/>
      <c r="K30" s="316"/>
      <c r="L30" s="160">
        <f t="shared" si="6"/>
        <v>0</v>
      </c>
      <c r="M30" s="316"/>
      <c r="N30" s="160">
        <f t="shared" si="1"/>
        <v>0</v>
      </c>
      <c r="O30" s="160">
        <f t="shared" si="2"/>
        <v>0</v>
      </c>
      <c r="P30" s="4"/>
      <c r="R30" s="1"/>
      <c r="S30" s="1"/>
      <c r="T30" s="1"/>
      <c r="U30" s="1"/>
    </row>
    <row r="31" spans="3:21">
      <c r="C31" s="155">
        <f>IF(D11="","-",+C30+1)</f>
        <v>2030</v>
      </c>
      <c r="D31" s="161">
        <f>IF(F30+SUM(E$17:E30)=D$10,F30,D$10-SUM(E$17:E30))</f>
        <v>47379077.213178337</v>
      </c>
      <c r="E31" s="162">
        <f>IF(+I14&lt;F30,I14,D31)</f>
        <v>1695178.2446698518</v>
      </c>
      <c r="F31" s="161">
        <f t="shared" si="3"/>
        <v>45683898.968508482</v>
      </c>
      <c r="G31" s="163">
        <f t="shared" si="4"/>
        <v>7162210.5670574671</v>
      </c>
      <c r="H31" s="145">
        <f t="shared" si="5"/>
        <v>7162210.5670574671</v>
      </c>
      <c r="I31" s="158">
        <f t="shared" si="0"/>
        <v>0</v>
      </c>
      <c r="J31" s="158"/>
      <c r="K31" s="316"/>
      <c r="L31" s="160">
        <f t="shared" si="6"/>
        <v>0</v>
      </c>
      <c r="M31" s="316"/>
      <c r="N31" s="160">
        <f t="shared" si="1"/>
        <v>0</v>
      </c>
      <c r="O31" s="160">
        <f t="shared" si="2"/>
        <v>0</v>
      </c>
      <c r="P31" s="4"/>
      <c r="Q31" s="7"/>
      <c r="R31" s="4"/>
      <c r="S31" s="4"/>
      <c r="T31" s="4"/>
      <c r="U31" s="1"/>
    </row>
    <row r="32" spans="3:21">
      <c r="C32" s="155">
        <f>IF(D12="","-",+C31+1)</f>
        <v>2031</v>
      </c>
      <c r="D32" s="161">
        <f>IF(F31+SUM(E$17:E31)=D$10,F31,D$10-SUM(E$17:E31))</f>
        <v>45683898.968508482</v>
      </c>
      <c r="E32" s="162">
        <f>IF(+I14&lt;F31,I14,D32)</f>
        <v>1695178.2446698518</v>
      </c>
      <c r="F32" s="161">
        <f>+D32-E32</f>
        <v>43988720.723838627</v>
      </c>
      <c r="G32" s="163">
        <f t="shared" si="4"/>
        <v>6963042.3341884632</v>
      </c>
      <c r="H32" s="145">
        <f t="shared" si="5"/>
        <v>6963042.3341884632</v>
      </c>
      <c r="I32" s="158">
        <f>H32-G32</f>
        <v>0</v>
      </c>
      <c r="J32" s="158"/>
      <c r="K32" s="316"/>
      <c r="L32" s="160">
        <f>IF(K32&lt;&gt;0,+G32-K32,0)</f>
        <v>0</v>
      </c>
      <c r="M32" s="316"/>
      <c r="N32" s="160">
        <f>IF(M32&lt;&gt;0,+H32-M32,0)</f>
        <v>0</v>
      </c>
      <c r="O32" s="160">
        <f>+N32-L32</f>
        <v>0</v>
      </c>
      <c r="P32" s="4"/>
      <c r="Q32" s="7"/>
      <c r="R32" s="4"/>
      <c r="S32" s="4"/>
      <c r="T32" s="4"/>
      <c r="U32" s="1"/>
    </row>
    <row r="33" spans="3:21">
      <c r="C33" s="155">
        <f>IF(D13="","-",+C32+1)</f>
        <v>2032</v>
      </c>
      <c r="D33" s="161">
        <f>IF(F32+SUM(E$17:E32)=D$10,F32,D$10-SUM(E$17:E32))</f>
        <v>43988720.723838627</v>
      </c>
      <c r="E33" s="162">
        <f>IF(+I14&lt;F32,I14,D33)</f>
        <v>1695178.2446698518</v>
      </c>
      <c r="F33" s="161">
        <f>+D33-E33</f>
        <v>42293542.479168773</v>
      </c>
      <c r="G33" s="163">
        <f t="shared" si="4"/>
        <v>6763874.1013194593</v>
      </c>
      <c r="H33" s="145">
        <f t="shared" si="5"/>
        <v>6763874.1013194593</v>
      </c>
      <c r="I33" s="158">
        <f>H33-G33</f>
        <v>0</v>
      </c>
      <c r="J33" s="158"/>
      <c r="K33" s="316"/>
      <c r="L33" s="160">
        <f>IF(K33&lt;&gt;0,+G33-K33,0)</f>
        <v>0</v>
      </c>
      <c r="M33" s="316"/>
      <c r="N33" s="160">
        <f>IF(M33&lt;&gt;0,+H33-M33,0)</f>
        <v>0</v>
      </c>
      <c r="O33" s="160">
        <f>+N33-L33</f>
        <v>0</v>
      </c>
      <c r="P33" s="4"/>
      <c r="R33" s="1"/>
      <c r="S33" s="1"/>
      <c r="T33" s="1"/>
      <c r="U33" s="1"/>
    </row>
    <row r="34" spans="3:21">
      <c r="C34" s="422">
        <f>IF(D11="","-",+C33+1)</f>
        <v>2033</v>
      </c>
      <c r="D34" s="423">
        <f>IF(F33+SUM(E$17:E33)=D$10,F33,D$10-SUM(E$17:E33))</f>
        <v>42293542.479168773</v>
      </c>
      <c r="E34" s="424">
        <f>IF(+I14&lt;F33,I14,D34)</f>
        <v>1695178.2446698518</v>
      </c>
      <c r="F34" s="423">
        <f t="shared" si="3"/>
        <v>40598364.234498918</v>
      </c>
      <c r="G34" s="163">
        <f t="shared" si="4"/>
        <v>6564705.8684504544</v>
      </c>
      <c r="H34" s="145">
        <f t="shared" si="5"/>
        <v>6564705.8684504544</v>
      </c>
      <c r="I34" s="427">
        <f t="shared" si="0"/>
        <v>0</v>
      </c>
      <c r="J34" s="427"/>
      <c r="K34" s="428"/>
      <c r="L34" s="429">
        <f t="shared" si="6"/>
        <v>0</v>
      </c>
      <c r="M34" s="428"/>
      <c r="N34" s="429">
        <f t="shared" si="1"/>
        <v>0</v>
      </c>
      <c r="O34" s="429">
        <f t="shared" si="2"/>
        <v>0</v>
      </c>
      <c r="P34" s="430"/>
      <c r="Q34" s="290"/>
      <c r="R34" s="430"/>
      <c r="S34" s="430"/>
      <c r="T34" s="430"/>
      <c r="U34" s="1"/>
    </row>
    <row r="35" spans="3:21">
      <c r="C35" s="155">
        <f>IF(D11="","-",+C34+1)</f>
        <v>2034</v>
      </c>
      <c r="D35" s="161">
        <f>IF(F34+SUM(E$17:E34)=D$10,F34,D$10-SUM(E$17:E34))</f>
        <v>40598364.234498918</v>
      </c>
      <c r="E35" s="162">
        <f>IF(+I14&lt;F34,I14,D35)</f>
        <v>1695178.2446698518</v>
      </c>
      <c r="F35" s="161">
        <f t="shared" si="3"/>
        <v>38903185.989829063</v>
      </c>
      <c r="G35" s="163">
        <f t="shared" si="4"/>
        <v>6365537.6355814505</v>
      </c>
      <c r="H35" s="145">
        <f t="shared" si="5"/>
        <v>6365537.6355814505</v>
      </c>
      <c r="I35" s="158">
        <f t="shared" si="0"/>
        <v>0</v>
      </c>
      <c r="J35" s="158"/>
      <c r="K35" s="316"/>
      <c r="L35" s="160">
        <f t="shared" si="6"/>
        <v>0</v>
      </c>
      <c r="M35" s="316"/>
      <c r="N35" s="160">
        <f t="shared" si="1"/>
        <v>0</v>
      </c>
      <c r="O35" s="160">
        <f t="shared" si="2"/>
        <v>0</v>
      </c>
      <c r="P35" s="4"/>
      <c r="R35" s="1"/>
      <c r="S35" s="1"/>
      <c r="T35" s="1"/>
      <c r="U35" s="1"/>
    </row>
    <row r="36" spans="3:21">
      <c r="C36" s="155">
        <f>IF(D11="","-",+C35+1)</f>
        <v>2035</v>
      </c>
      <c r="D36" s="161">
        <f>IF(F35+SUM(E$17:E35)=D$10,F35,D$10-SUM(E$17:E35))</f>
        <v>38903185.989829116</v>
      </c>
      <c r="E36" s="162">
        <f>IF(+I14&lt;F35,I14,D36)</f>
        <v>1695178.2446698518</v>
      </c>
      <c r="F36" s="161">
        <f t="shared" si="3"/>
        <v>37208007.745159261</v>
      </c>
      <c r="G36" s="163">
        <f t="shared" si="4"/>
        <v>6166369.4027124522</v>
      </c>
      <c r="H36" s="145">
        <f t="shared" si="5"/>
        <v>6166369.4027124522</v>
      </c>
      <c r="I36" s="158">
        <f t="shared" si="0"/>
        <v>0</v>
      </c>
      <c r="J36" s="158"/>
      <c r="K36" s="316"/>
      <c r="L36" s="160">
        <f t="shared" si="6"/>
        <v>0</v>
      </c>
      <c r="M36" s="316"/>
      <c r="N36" s="160">
        <f t="shared" si="1"/>
        <v>0</v>
      </c>
      <c r="O36" s="160">
        <f t="shared" si="2"/>
        <v>0</v>
      </c>
      <c r="P36" s="4"/>
      <c r="R36" s="1"/>
      <c r="S36" s="1"/>
      <c r="T36" s="1"/>
      <c r="U36" s="1"/>
    </row>
    <row r="37" spans="3:21">
      <c r="C37" s="155">
        <f>IF(D11="","-",+C36+1)</f>
        <v>2036</v>
      </c>
      <c r="D37" s="161">
        <f>IF(F36+SUM(E$17:E36)=D$10,F36,D$10-SUM(E$17:E36))</f>
        <v>37208007.745159261</v>
      </c>
      <c r="E37" s="162">
        <f>IF(+I14&lt;F36,I14,D37)</f>
        <v>1695178.2446698518</v>
      </c>
      <c r="F37" s="161">
        <f t="shared" si="3"/>
        <v>35512829.500489406</v>
      </c>
      <c r="G37" s="163">
        <f t="shared" si="4"/>
        <v>5967201.1698434483</v>
      </c>
      <c r="H37" s="145">
        <f t="shared" si="5"/>
        <v>5967201.1698434483</v>
      </c>
      <c r="I37" s="158">
        <f t="shared" si="0"/>
        <v>0</v>
      </c>
      <c r="J37" s="158"/>
      <c r="K37" s="316"/>
      <c r="L37" s="160">
        <f t="shared" si="6"/>
        <v>0</v>
      </c>
      <c r="M37" s="316"/>
      <c r="N37" s="160">
        <f t="shared" si="1"/>
        <v>0</v>
      </c>
      <c r="O37" s="160">
        <f t="shared" si="2"/>
        <v>0</v>
      </c>
      <c r="P37" s="4"/>
      <c r="R37" s="1"/>
      <c r="S37" s="1"/>
      <c r="T37" s="1"/>
      <c r="U37" s="1"/>
    </row>
    <row r="38" spans="3:21">
      <c r="C38" s="155">
        <f>IF(D11="","-",+C37+1)</f>
        <v>2037</v>
      </c>
      <c r="D38" s="161">
        <f>IF(F37+SUM(E$17:E37)=D$10,F37,D$10-SUM(E$17:E37))</f>
        <v>35512829.500489406</v>
      </c>
      <c r="E38" s="162">
        <f>IF(+I14&lt;F37,I14,D38)</f>
        <v>1695178.2446698518</v>
      </c>
      <c r="F38" s="161">
        <f t="shared" si="3"/>
        <v>33817651.255819552</v>
      </c>
      <c r="G38" s="163">
        <f t="shared" si="4"/>
        <v>5768032.9369744435</v>
      </c>
      <c r="H38" s="145">
        <f t="shared" si="5"/>
        <v>5768032.9369744435</v>
      </c>
      <c r="I38" s="158">
        <f t="shared" si="0"/>
        <v>0</v>
      </c>
      <c r="J38" s="158"/>
      <c r="K38" s="316"/>
      <c r="L38" s="160">
        <f t="shared" si="6"/>
        <v>0</v>
      </c>
      <c r="M38" s="316"/>
      <c r="N38" s="160">
        <f t="shared" si="1"/>
        <v>0</v>
      </c>
      <c r="O38" s="160">
        <f t="shared" si="2"/>
        <v>0</v>
      </c>
      <c r="P38" s="4"/>
      <c r="R38" s="1"/>
      <c r="S38" s="1"/>
      <c r="T38" s="1"/>
      <c r="U38" s="1"/>
    </row>
    <row r="39" spans="3:21">
      <c r="C39" s="155">
        <f>IF(D11="","-",+C38+1)</f>
        <v>2038</v>
      </c>
      <c r="D39" s="161">
        <f>IF(F38+SUM(E$17:E38)=D$10,F38,D$10-SUM(E$17:E38))</f>
        <v>33817651.255819552</v>
      </c>
      <c r="E39" s="162">
        <f>IF(+I14&lt;F38,I14,D39)</f>
        <v>1695178.2446698518</v>
      </c>
      <c r="F39" s="161">
        <f t="shared" si="3"/>
        <v>32122473.011149701</v>
      </c>
      <c r="G39" s="163">
        <f t="shared" si="4"/>
        <v>5568864.7041054396</v>
      </c>
      <c r="H39" s="145">
        <f t="shared" si="5"/>
        <v>5568864.7041054396</v>
      </c>
      <c r="I39" s="158">
        <f t="shared" si="0"/>
        <v>0</v>
      </c>
      <c r="J39" s="158"/>
      <c r="K39" s="316"/>
      <c r="L39" s="160">
        <f t="shared" si="6"/>
        <v>0</v>
      </c>
      <c r="M39" s="316"/>
      <c r="N39" s="160">
        <f t="shared" si="1"/>
        <v>0</v>
      </c>
      <c r="O39" s="160">
        <f t="shared" si="2"/>
        <v>0</v>
      </c>
      <c r="P39" s="4"/>
      <c r="R39" s="1"/>
      <c r="S39" s="1"/>
      <c r="T39" s="1"/>
      <c r="U39" s="1"/>
    </row>
    <row r="40" spans="3:21">
      <c r="C40" s="155">
        <f>IF(D11="","-",+C39+1)</f>
        <v>2039</v>
      </c>
      <c r="D40" s="161">
        <f>IF(F39+SUM(E$17:E39)=D$10,F39,D$10-SUM(E$17:E39))</f>
        <v>32122473.011149701</v>
      </c>
      <c r="E40" s="162">
        <f>IF(+I14&lt;F39,I14,D40)</f>
        <v>1695178.2446698518</v>
      </c>
      <c r="F40" s="161">
        <f t="shared" si="3"/>
        <v>30427294.76647985</v>
      </c>
      <c r="G40" s="163">
        <f t="shared" si="4"/>
        <v>5369696.4712364357</v>
      </c>
      <c r="H40" s="145">
        <f t="shared" si="5"/>
        <v>5369696.4712364357</v>
      </c>
      <c r="I40" s="158">
        <f t="shared" si="0"/>
        <v>0</v>
      </c>
      <c r="J40" s="158"/>
      <c r="K40" s="316"/>
      <c r="L40" s="160">
        <f t="shared" si="6"/>
        <v>0</v>
      </c>
      <c r="M40" s="316"/>
      <c r="N40" s="160">
        <f t="shared" si="1"/>
        <v>0</v>
      </c>
      <c r="O40" s="160">
        <f t="shared" si="2"/>
        <v>0</v>
      </c>
      <c r="P40" s="4"/>
      <c r="R40" s="1"/>
      <c r="S40" s="1"/>
      <c r="T40" s="1"/>
      <c r="U40" s="1"/>
    </row>
    <row r="41" spans="3:21">
      <c r="C41" s="155">
        <f>IF(D12="","-",+C40+1)</f>
        <v>2040</v>
      </c>
      <c r="D41" s="161">
        <f>IF(F40+SUM(E$17:E40)=D$10,F40,D$10-SUM(E$17:E40))</f>
        <v>30427294.76647985</v>
      </c>
      <c r="E41" s="162">
        <f>IF(+I14&lt;F40,I14,D41)</f>
        <v>1695178.2446698518</v>
      </c>
      <c r="F41" s="161">
        <f t="shared" si="3"/>
        <v>28732116.521809999</v>
      </c>
      <c r="G41" s="163">
        <f t="shared" si="4"/>
        <v>5170528.2383674327</v>
      </c>
      <c r="H41" s="145">
        <f t="shared" si="5"/>
        <v>5170528.2383674327</v>
      </c>
      <c r="I41" s="158">
        <f t="shared" si="0"/>
        <v>0</v>
      </c>
      <c r="J41" s="158"/>
      <c r="K41" s="316"/>
      <c r="L41" s="160">
        <f t="shared" si="6"/>
        <v>0</v>
      </c>
      <c r="M41" s="316"/>
      <c r="N41" s="160">
        <f t="shared" si="1"/>
        <v>0</v>
      </c>
      <c r="O41" s="160">
        <f t="shared" si="2"/>
        <v>0</v>
      </c>
      <c r="P41" s="4"/>
      <c r="R41" s="1"/>
      <c r="S41" s="1"/>
      <c r="T41" s="1"/>
      <c r="U41" s="1"/>
    </row>
    <row r="42" spans="3:21">
      <c r="C42" s="155">
        <f>IF(D13="","-",+C41+1)</f>
        <v>2041</v>
      </c>
      <c r="D42" s="161">
        <f>IF(F41+SUM(E$17:E41)=D$10,F41,D$10-SUM(E$17:E41))</f>
        <v>28732116.521809999</v>
      </c>
      <c r="E42" s="162">
        <f>IF(+I14&lt;F41,I14,D42)</f>
        <v>1695178.2446698518</v>
      </c>
      <c r="F42" s="161">
        <f t="shared" si="3"/>
        <v>27036938.277140148</v>
      </c>
      <c r="G42" s="163">
        <f t="shared" si="4"/>
        <v>4971360.0054984288</v>
      </c>
      <c r="H42" s="145">
        <f t="shared" si="5"/>
        <v>4971360.0054984288</v>
      </c>
      <c r="I42" s="158">
        <f t="shared" si="0"/>
        <v>0</v>
      </c>
      <c r="J42" s="158"/>
      <c r="K42" s="316"/>
      <c r="L42" s="160">
        <f t="shared" si="6"/>
        <v>0</v>
      </c>
      <c r="M42" s="316"/>
      <c r="N42" s="160">
        <f t="shared" si="1"/>
        <v>0</v>
      </c>
      <c r="O42" s="160">
        <f t="shared" si="2"/>
        <v>0</v>
      </c>
      <c r="P42" s="4"/>
      <c r="R42" s="1"/>
      <c r="S42" s="1"/>
      <c r="T42" s="1"/>
      <c r="U42" s="1"/>
    </row>
    <row r="43" spans="3:21">
      <c r="C43" s="155">
        <f>IF(D14="","-",+C42+1)</f>
        <v>2042</v>
      </c>
      <c r="D43" s="161">
        <f>IF(F42+SUM(E$17:E42)=D$10,F42,D$10-SUM(E$17:E42))</f>
        <v>27036938.277140148</v>
      </c>
      <c r="E43" s="162">
        <f>IF(+I14&lt;F42,I14,D43)</f>
        <v>1695178.2446698518</v>
      </c>
      <c r="F43" s="161">
        <f t="shared" si="3"/>
        <v>25341760.032470297</v>
      </c>
      <c r="G43" s="163">
        <f t="shared" si="4"/>
        <v>4772191.7726294249</v>
      </c>
      <c r="H43" s="145">
        <f t="shared" si="5"/>
        <v>4772191.7726294249</v>
      </c>
      <c r="I43" s="158">
        <f t="shared" si="0"/>
        <v>0</v>
      </c>
      <c r="J43" s="158"/>
      <c r="K43" s="316"/>
      <c r="L43" s="160">
        <f t="shared" si="6"/>
        <v>0</v>
      </c>
      <c r="M43" s="316"/>
      <c r="N43" s="160">
        <f t="shared" si="1"/>
        <v>0</v>
      </c>
      <c r="O43" s="160">
        <f t="shared" si="2"/>
        <v>0</v>
      </c>
      <c r="P43" s="4"/>
      <c r="R43" s="1"/>
      <c r="S43" s="1"/>
      <c r="T43" s="1"/>
      <c r="U43" s="1"/>
    </row>
    <row r="44" spans="3:21">
      <c r="C44" s="155">
        <f>IF(D11="","-",+C43+1)</f>
        <v>2043</v>
      </c>
      <c r="D44" s="161">
        <f>IF(F43+SUM(E$17:E43)=D$10,F43,D$10-SUM(E$17:E43))</f>
        <v>25341760.032470297</v>
      </c>
      <c r="E44" s="162">
        <f>IF(+I14&lt;F43,I14,D44)</f>
        <v>1695178.2446698518</v>
      </c>
      <c r="F44" s="161">
        <f t="shared" si="3"/>
        <v>23646581.787800446</v>
      </c>
      <c r="G44" s="163">
        <f t="shared" si="4"/>
        <v>4573023.539760421</v>
      </c>
      <c r="H44" s="145">
        <f t="shared" si="5"/>
        <v>4573023.539760421</v>
      </c>
      <c r="I44" s="158">
        <f t="shared" si="0"/>
        <v>0</v>
      </c>
      <c r="J44" s="158"/>
      <c r="K44" s="316"/>
      <c r="L44" s="160">
        <f t="shared" si="6"/>
        <v>0</v>
      </c>
      <c r="M44" s="316"/>
      <c r="N44" s="160">
        <f t="shared" si="1"/>
        <v>0</v>
      </c>
      <c r="O44" s="160">
        <f t="shared" si="2"/>
        <v>0</v>
      </c>
      <c r="P44" s="4"/>
      <c r="R44" s="1"/>
      <c r="S44" s="1"/>
      <c r="T44" s="1"/>
      <c r="U44" s="1"/>
    </row>
    <row r="45" spans="3:21">
      <c r="C45" s="155">
        <f>IF(D11="","-",+C44+1)</f>
        <v>2044</v>
      </c>
      <c r="D45" s="161">
        <f>IF(F44+SUM(E$17:E44)=D$10,F44,D$10-SUM(E$17:E44))</f>
        <v>23646581.787800446</v>
      </c>
      <c r="E45" s="162">
        <f>IF(+I14&lt;F44,I14,D45)</f>
        <v>1695178.2446698518</v>
      </c>
      <c r="F45" s="161">
        <f t="shared" si="3"/>
        <v>21951403.543130595</v>
      </c>
      <c r="G45" s="163">
        <f t="shared" si="4"/>
        <v>4373855.3068914171</v>
      </c>
      <c r="H45" s="145">
        <f t="shared" si="5"/>
        <v>4373855.3068914171</v>
      </c>
      <c r="I45" s="158">
        <f t="shared" si="0"/>
        <v>0</v>
      </c>
      <c r="J45" s="158"/>
      <c r="K45" s="316"/>
      <c r="L45" s="160">
        <f t="shared" si="6"/>
        <v>0</v>
      </c>
      <c r="M45" s="316"/>
      <c r="N45" s="160">
        <f t="shared" si="1"/>
        <v>0</v>
      </c>
      <c r="O45" s="160">
        <f t="shared" si="2"/>
        <v>0</v>
      </c>
      <c r="P45" s="4"/>
      <c r="R45" s="1"/>
      <c r="S45" s="1"/>
      <c r="T45" s="1"/>
      <c r="U45" s="1"/>
    </row>
    <row r="46" spans="3:21">
      <c r="C46" s="155">
        <f>IF(D11="","-",+C45+1)</f>
        <v>2045</v>
      </c>
      <c r="D46" s="161">
        <f>IF(F45+SUM(E$17:E45)=D$10,F45,D$10-SUM(E$17:E45))</f>
        <v>21951403.543130595</v>
      </c>
      <c r="E46" s="162">
        <f>IF(+I14&lt;F45,I14,D46)</f>
        <v>1695178.2446698518</v>
      </c>
      <c r="F46" s="161">
        <f t="shared" si="3"/>
        <v>20256225.298460744</v>
      </c>
      <c r="G46" s="163">
        <f t="shared" si="4"/>
        <v>4174687.0740224137</v>
      </c>
      <c r="H46" s="145">
        <f t="shared" si="5"/>
        <v>4174687.0740224137</v>
      </c>
      <c r="I46" s="158">
        <f t="shared" si="0"/>
        <v>0</v>
      </c>
      <c r="J46" s="158"/>
      <c r="K46" s="316"/>
      <c r="L46" s="160">
        <f t="shared" si="6"/>
        <v>0</v>
      </c>
      <c r="M46" s="316"/>
      <c r="N46" s="160">
        <f t="shared" si="1"/>
        <v>0</v>
      </c>
      <c r="O46" s="160">
        <f t="shared" si="2"/>
        <v>0</v>
      </c>
      <c r="P46" s="4"/>
      <c r="R46" s="1"/>
      <c r="S46" s="1"/>
      <c r="T46" s="1"/>
      <c r="U46" s="1"/>
    </row>
    <row r="47" spans="3:21">
      <c r="C47" s="155">
        <f>IF(D11="","-",+C46+1)</f>
        <v>2046</v>
      </c>
      <c r="D47" s="161">
        <f>IF(F46+SUM(E$17:E46)=D$10,F46,D$10-SUM(E$17:E46))</f>
        <v>20256225.298460744</v>
      </c>
      <c r="E47" s="162">
        <f>IF(+I14&lt;F46,I14,D47)</f>
        <v>1695178.2446698518</v>
      </c>
      <c r="F47" s="161">
        <f t="shared" si="3"/>
        <v>18561047.053790893</v>
      </c>
      <c r="G47" s="163">
        <f t="shared" si="4"/>
        <v>3975518.8411534093</v>
      </c>
      <c r="H47" s="145">
        <f t="shared" si="5"/>
        <v>3975518.8411534093</v>
      </c>
      <c r="I47" s="158">
        <f t="shared" si="0"/>
        <v>0</v>
      </c>
      <c r="J47" s="158"/>
      <c r="K47" s="316"/>
      <c r="L47" s="160">
        <f t="shared" si="6"/>
        <v>0</v>
      </c>
      <c r="M47" s="316"/>
      <c r="N47" s="160">
        <f t="shared" si="1"/>
        <v>0</v>
      </c>
      <c r="O47" s="160">
        <f t="shared" si="2"/>
        <v>0</v>
      </c>
      <c r="P47" s="4"/>
      <c r="R47" s="1"/>
      <c r="S47" s="1"/>
      <c r="T47" s="1"/>
      <c r="U47" s="1"/>
    </row>
    <row r="48" spans="3:21">
      <c r="C48" s="155">
        <f>IF(D11="","-",+C47+1)</f>
        <v>2047</v>
      </c>
      <c r="D48" s="161">
        <f>IF(F47+SUM(E$17:E47)=D$10,F47,D$10-SUM(E$17:E47))</f>
        <v>18561047.053790893</v>
      </c>
      <c r="E48" s="162">
        <f>IF(+I14&lt;F47,I14,D48)</f>
        <v>1695178.2446698518</v>
      </c>
      <c r="F48" s="161">
        <f t="shared" si="3"/>
        <v>16865868.809121042</v>
      </c>
      <c r="G48" s="163">
        <f t="shared" si="4"/>
        <v>3776350.6082844064</v>
      </c>
      <c r="H48" s="145">
        <f t="shared" si="5"/>
        <v>3776350.6082844064</v>
      </c>
      <c r="I48" s="158">
        <f t="shared" si="0"/>
        <v>0</v>
      </c>
      <c r="J48" s="158"/>
      <c r="K48" s="316"/>
      <c r="L48" s="160">
        <f t="shared" si="6"/>
        <v>0</v>
      </c>
      <c r="M48" s="316"/>
      <c r="N48" s="160">
        <f t="shared" si="1"/>
        <v>0</v>
      </c>
      <c r="O48" s="160">
        <f t="shared" si="2"/>
        <v>0</v>
      </c>
      <c r="P48" s="4"/>
      <c r="R48" s="1"/>
      <c r="S48" s="1"/>
      <c r="T48" s="1"/>
      <c r="U48" s="1"/>
    </row>
    <row r="49" spans="3:21">
      <c r="C49" s="155">
        <f>IF(D11="","-",+C48+1)</f>
        <v>2048</v>
      </c>
      <c r="D49" s="161">
        <f>IF(F48+SUM(E$17:E48)=D$10,F48,D$10-SUM(E$17:E48))</f>
        <v>16865868.809121042</v>
      </c>
      <c r="E49" s="162">
        <f>IF(+I14&lt;F48,I14,D49)</f>
        <v>1695178.2446698518</v>
      </c>
      <c r="F49" s="161">
        <f t="shared" si="3"/>
        <v>15170690.564451192</v>
      </c>
      <c r="G49" s="163">
        <f t="shared" si="4"/>
        <v>3577182.375415402</v>
      </c>
      <c r="H49" s="145">
        <f t="shared" si="5"/>
        <v>3577182.375415402</v>
      </c>
      <c r="I49" s="158">
        <f t="shared" si="0"/>
        <v>0</v>
      </c>
      <c r="J49" s="158"/>
      <c r="K49" s="316"/>
      <c r="L49" s="160">
        <f t="shared" si="6"/>
        <v>0</v>
      </c>
      <c r="M49" s="316"/>
      <c r="N49" s="160">
        <f t="shared" si="1"/>
        <v>0</v>
      </c>
      <c r="O49" s="160">
        <f t="shared" si="2"/>
        <v>0</v>
      </c>
      <c r="P49" s="4"/>
      <c r="R49" s="1"/>
      <c r="S49" s="1"/>
      <c r="T49" s="1"/>
      <c r="U49" s="1"/>
    </row>
    <row r="50" spans="3:21">
      <c r="C50" s="155">
        <f>IF(D11="","-",+C49+1)</f>
        <v>2049</v>
      </c>
      <c r="D50" s="161">
        <f>IF(F49+SUM(E$17:E49)=D$10,F49,D$10-SUM(E$17:E49))</f>
        <v>15170690.564451192</v>
      </c>
      <c r="E50" s="162">
        <f>IF(+I14&lt;F49,I14,D50)</f>
        <v>1695178.2446698518</v>
      </c>
      <c r="F50" s="161">
        <f t="shared" si="3"/>
        <v>13475512.319781341</v>
      </c>
      <c r="G50" s="163">
        <f t="shared" si="4"/>
        <v>3378014.1425463986</v>
      </c>
      <c r="H50" s="145">
        <f t="shared" si="5"/>
        <v>3378014.1425463986</v>
      </c>
      <c r="I50" s="158">
        <f t="shared" si="0"/>
        <v>0</v>
      </c>
      <c r="J50" s="158"/>
      <c r="K50" s="316"/>
      <c r="L50" s="160">
        <f t="shared" si="6"/>
        <v>0</v>
      </c>
      <c r="M50" s="316"/>
      <c r="N50" s="160">
        <f t="shared" si="1"/>
        <v>0</v>
      </c>
      <c r="O50" s="160">
        <f t="shared" si="2"/>
        <v>0</v>
      </c>
      <c r="P50" s="4"/>
      <c r="R50" s="1"/>
      <c r="S50" s="1"/>
      <c r="T50" s="1"/>
      <c r="U50" s="1"/>
    </row>
    <row r="51" spans="3:21">
      <c r="C51" s="155">
        <f>IF(D11="","-",+C50+1)</f>
        <v>2050</v>
      </c>
      <c r="D51" s="161">
        <f>IF(F50+SUM(E$17:E50)=D$10,F50,D$10-SUM(E$17:E50))</f>
        <v>13475512.319781341</v>
      </c>
      <c r="E51" s="162">
        <f>IF(+I14&lt;F50,I14,D51)</f>
        <v>1695178.2446698518</v>
      </c>
      <c r="F51" s="161">
        <f t="shared" si="3"/>
        <v>11780334.07511149</v>
      </c>
      <c r="G51" s="163">
        <f t="shared" si="4"/>
        <v>3178845.9096773947</v>
      </c>
      <c r="H51" s="145">
        <f t="shared" si="5"/>
        <v>3178845.9096773947</v>
      </c>
      <c r="I51" s="158">
        <f t="shared" si="0"/>
        <v>0</v>
      </c>
      <c r="J51" s="158"/>
      <c r="K51" s="316"/>
      <c r="L51" s="160">
        <f t="shared" si="6"/>
        <v>0</v>
      </c>
      <c r="M51" s="316"/>
      <c r="N51" s="160">
        <f t="shared" si="1"/>
        <v>0</v>
      </c>
      <c r="O51" s="160">
        <f t="shared" si="2"/>
        <v>0</v>
      </c>
      <c r="P51" s="4"/>
      <c r="R51" s="1"/>
      <c r="S51" s="1"/>
      <c r="T51" s="1"/>
      <c r="U51" s="1"/>
    </row>
    <row r="52" spans="3:21">
      <c r="C52" s="155">
        <f>IF(D11="","-",+C51+1)</f>
        <v>2051</v>
      </c>
      <c r="D52" s="161">
        <f>IF(F51+SUM(E$17:E51)=D$10,F51,D$10-SUM(E$17:E51))</f>
        <v>11780334.07511149</v>
      </c>
      <c r="E52" s="162">
        <f>IF(+I14&lt;F51,I14,D52)</f>
        <v>1695178.2446698518</v>
      </c>
      <c r="F52" s="161">
        <f t="shared" si="3"/>
        <v>10085155.830441639</v>
      </c>
      <c r="G52" s="163">
        <f t="shared" si="4"/>
        <v>2979677.6768083908</v>
      </c>
      <c r="H52" s="145">
        <f t="shared" si="5"/>
        <v>2979677.6768083908</v>
      </c>
      <c r="I52" s="158">
        <f t="shared" si="0"/>
        <v>0</v>
      </c>
      <c r="J52" s="158"/>
      <c r="K52" s="316"/>
      <c r="L52" s="160">
        <f t="shared" si="6"/>
        <v>0</v>
      </c>
      <c r="M52" s="316"/>
      <c r="N52" s="160">
        <f t="shared" si="1"/>
        <v>0</v>
      </c>
      <c r="O52" s="160">
        <f t="shared" si="2"/>
        <v>0</v>
      </c>
      <c r="P52" s="4"/>
      <c r="R52" s="1"/>
      <c r="S52" s="1"/>
      <c r="T52" s="1"/>
      <c r="U52" s="1"/>
    </row>
    <row r="53" spans="3:21">
      <c r="C53" s="155">
        <f>IF(D11="","-",+C52+1)</f>
        <v>2052</v>
      </c>
      <c r="D53" s="161">
        <f>IF(F52+SUM(E$17:E52)=D$10,F52,D$10-SUM(E$17:E52))</f>
        <v>10085155.830441639</v>
      </c>
      <c r="E53" s="162">
        <f>IF(+I14&lt;F52,I14,D53)</f>
        <v>1695178.2446698518</v>
      </c>
      <c r="F53" s="161">
        <f t="shared" si="3"/>
        <v>8389977.5857717879</v>
      </c>
      <c r="G53" s="163">
        <f t="shared" si="4"/>
        <v>2780509.4439393869</v>
      </c>
      <c r="H53" s="145">
        <f t="shared" si="5"/>
        <v>2780509.4439393869</v>
      </c>
      <c r="I53" s="158">
        <f t="shared" si="0"/>
        <v>0</v>
      </c>
      <c r="J53" s="158"/>
      <c r="K53" s="316"/>
      <c r="L53" s="160">
        <f t="shared" si="6"/>
        <v>0</v>
      </c>
      <c r="M53" s="316"/>
      <c r="N53" s="160">
        <f t="shared" si="1"/>
        <v>0</v>
      </c>
      <c r="O53" s="160">
        <f t="shared" si="2"/>
        <v>0</v>
      </c>
      <c r="P53" s="4"/>
      <c r="R53" s="1"/>
      <c r="S53" s="1"/>
      <c r="T53" s="1"/>
      <c r="U53" s="1"/>
    </row>
    <row r="54" spans="3:21">
      <c r="C54" s="155">
        <f>IF(D11="","-",+C53+1)</f>
        <v>2053</v>
      </c>
      <c r="D54" s="161">
        <f>IF(F53+SUM(E$17:E53)=D$10,F53,D$10-SUM(E$17:E53))</f>
        <v>8389977.5857717879</v>
      </c>
      <c r="E54" s="162">
        <f>IF(+I14&lt;F53,I14,D54)</f>
        <v>1695178.2446698518</v>
      </c>
      <c r="F54" s="161">
        <f t="shared" si="3"/>
        <v>6694799.3411019361</v>
      </c>
      <c r="G54" s="163">
        <f t="shared" si="4"/>
        <v>2581341.211070383</v>
      </c>
      <c r="H54" s="145">
        <f t="shared" si="5"/>
        <v>2581341.211070383</v>
      </c>
      <c r="I54" s="158">
        <f t="shared" si="0"/>
        <v>0</v>
      </c>
      <c r="J54" s="158"/>
      <c r="K54" s="316"/>
      <c r="L54" s="160">
        <f t="shared" si="6"/>
        <v>0</v>
      </c>
      <c r="M54" s="316"/>
      <c r="N54" s="160">
        <f t="shared" si="1"/>
        <v>0</v>
      </c>
      <c r="O54" s="160">
        <f t="shared" si="2"/>
        <v>0</v>
      </c>
      <c r="P54" s="4"/>
      <c r="R54" s="1"/>
      <c r="S54" s="1"/>
      <c r="T54" s="1"/>
      <c r="U54" s="1"/>
    </row>
    <row r="55" spans="3:21">
      <c r="C55" s="155">
        <f>IF(D11="","-",+C54+1)</f>
        <v>2054</v>
      </c>
      <c r="D55" s="161">
        <f>IF(F54+SUM(E$17:E54)=D$10,F54,D$10-SUM(E$17:E54))</f>
        <v>6694799.3411019361</v>
      </c>
      <c r="E55" s="162">
        <f>IF(+I14&lt;F54,I14,D55)</f>
        <v>1695178.2446698518</v>
      </c>
      <c r="F55" s="161">
        <f t="shared" si="3"/>
        <v>4999621.0964320842</v>
      </c>
      <c r="G55" s="163">
        <f t="shared" si="4"/>
        <v>2382172.9782013791</v>
      </c>
      <c r="H55" s="145">
        <f t="shared" si="5"/>
        <v>2382172.9782013791</v>
      </c>
      <c r="I55" s="158">
        <f t="shared" si="0"/>
        <v>0</v>
      </c>
      <c r="J55" s="158"/>
      <c r="K55" s="316"/>
      <c r="L55" s="160">
        <f t="shared" si="6"/>
        <v>0</v>
      </c>
      <c r="M55" s="316"/>
      <c r="N55" s="160">
        <f t="shared" si="1"/>
        <v>0</v>
      </c>
      <c r="O55" s="160">
        <f t="shared" si="2"/>
        <v>0</v>
      </c>
      <c r="P55" s="4"/>
      <c r="R55" s="1"/>
      <c r="S55" s="1"/>
      <c r="T55" s="1"/>
      <c r="U55" s="1"/>
    </row>
    <row r="56" spans="3:21">
      <c r="C56" s="155">
        <f>IF(D11="","-",+C55+1)</f>
        <v>2055</v>
      </c>
      <c r="D56" s="161">
        <f>IF(F55+SUM(E$17:E55)=D$10,F55,D$10-SUM(E$17:E55))</f>
        <v>4999621.0964320302</v>
      </c>
      <c r="E56" s="162">
        <f>IF(+I14&lt;F55,I14,D56)</f>
        <v>1695178.2446698518</v>
      </c>
      <c r="F56" s="161">
        <f t="shared" si="3"/>
        <v>3304442.8517621784</v>
      </c>
      <c r="G56" s="163">
        <f t="shared" si="4"/>
        <v>2183004.7453323691</v>
      </c>
      <c r="H56" s="145">
        <f t="shared" si="5"/>
        <v>2183004.7453323691</v>
      </c>
      <c r="I56" s="158">
        <f t="shared" si="0"/>
        <v>0</v>
      </c>
      <c r="J56" s="158"/>
      <c r="K56" s="316"/>
      <c r="L56" s="160">
        <f t="shared" si="6"/>
        <v>0</v>
      </c>
      <c r="M56" s="316"/>
      <c r="N56" s="160">
        <f t="shared" si="1"/>
        <v>0</v>
      </c>
      <c r="O56" s="160">
        <f t="shared" si="2"/>
        <v>0</v>
      </c>
      <c r="P56" s="4"/>
      <c r="R56" s="1"/>
      <c r="S56" s="1"/>
      <c r="T56" s="1"/>
      <c r="U56" s="1"/>
    </row>
    <row r="57" spans="3:21">
      <c r="C57" s="155">
        <f>IF(D11="","-",+C56+1)</f>
        <v>2056</v>
      </c>
      <c r="D57" s="161">
        <f>IF(F56+SUM(E$17:E56)=D$10,F56,D$10-SUM(E$17:E56))</f>
        <v>3304442.8517621784</v>
      </c>
      <c r="E57" s="162">
        <f>IF(+I14&lt;F56,I14,D57)</f>
        <v>1695178.2446698518</v>
      </c>
      <c r="F57" s="161">
        <f t="shared" si="3"/>
        <v>1609264.6070923265</v>
      </c>
      <c r="G57" s="163">
        <f t="shared" si="4"/>
        <v>1983836.512463365</v>
      </c>
      <c r="H57" s="145">
        <f t="shared" si="5"/>
        <v>1983836.512463365</v>
      </c>
      <c r="I57" s="158">
        <f t="shared" si="0"/>
        <v>0</v>
      </c>
      <c r="J57" s="158"/>
      <c r="K57" s="316"/>
      <c r="L57" s="160">
        <f t="shared" si="6"/>
        <v>0</v>
      </c>
      <c r="M57" s="316"/>
      <c r="N57" s="160">
        <f t="shared" si="1"/>
        <v>0</v>
      </c>
      <c r="O57" s="160">
        <f t="shared" si="2"/>
        <v>0</v>
      </c>
      <c r="P57" s="4"/>
      <c r="R57" s="1"/>
      <c r="S57" s="1"/>
      <c r="T57" s="1"/>
      <c r="U57" s="1"/>
    </row>
    <row r="58" spans="3:21">
      <c r="C58" s="155">
        <f>IF(D11="","-",+C57+1)</f>
        <v>2057</v>
      </c>
      <c r="D58" s="161">
        <f>IF(F57+SUM(E$17:E57)=D$10,F57,D$10-SUM(E$17:E57))</f>
        <v>1609264.6070923265</v>
      </c>
      <c r="E58" s="162">
        <f>IF(+I14&lt;F57,I14,D58)</f>
        <v>1609264.6070923265</v>
      </c>
      <c r="F58" s="161">
        <f t="shared" si="3"/>
        <v>0</v>
      </c>
      <c r="G58" s="163">
        <f t="shared" si="4"/>
        <v>1703801.6827718322</v>
      </c>
      <c r="H58" s="145">
        <f t="shared" si="5"/>
        <v>1703801.6827718322</v>
      </c>
      <c r="I58" s="158">
        <f t="shared" si="0"/>
        <v>0</v>
      </c>
      <c r="J58" s="158"/>
      <c r="K58" s="316"/>
      <c r="L58" s="160">
        <f t="shared" si="6"/>
        <v>0</v>
      </c>
      <c r="M58" s="316"/>
      <c r="N58" s="160">
        <f t="shared" si="1"/>
        <v>0</v>
      </c>
      <c r="O58" s="160">
        <f t="shared" si="2"/>
        <v>0</v>
      </c>
      <c r="P58" s="4"/>
      <c r="R58" s="1"/>
      <c r="S58" s="1"/>
      <c r="T58" s="1"/>
      <c r="U58" s="1"/>
    </row>
    <row r="59" spans="3:21">
      <c r="C59" s="155">
        <f>IF(D11="","-",+C58+1)</f>
        <v>2058</v>
      </c>
      <c r="D59" s="161">
        <f>IF(F58+SUM(E$17:E58)=D$10,F58,D$10-SUM(E$17:E58))</f>
        <v>0</v>
      </c>
      <c r="E59" s="162">
        <f>IF(+I14&lt;F58,I14,D59)</f>
        <v>0</v>
      </c>
      <c r="F59" s="161">
        <f t="shared" si="3"/>
        <v>0</v>
      </c>
      <c r="G59" s="163">
        <f t="shared" si="4"/>
        <v>0</v>
      </c>
      <c r="H59" s="145">
        <f t="shared" si="5"/>
        <v>0</v>
      </c>
      <c r="I59" s="158">
        <f t="shared" si="0"/>
        <v>0</v>
      </c>
      <c r="J59" s="158"/>
      <c r="K59" s="316"/>
      <c r="L59" s="160">
        <f t="shared" si="6"/>
        <v>0</v>
      </c>
      <c r="M59" s="316"/>
      <c r="N59" s="160">
        <f t="shared" si="1"/>
        <v>0</v>
      </c>
      <c r="O59" s="160">
        <f t="shared" si="2"/>
        <v>0</v>
      </c>
      <c r="P59" s="4"/>
      <c r="R59" s="1"/>
      <c r="S59" s="1"/>
      <c r="T59" s="1"/>
      <c r="U59" s="1"/>
    </row>
    <row r="60" spans="3:21">
      <c r="C60" s="155">
        <f>IF(D11="","-",+C59+1)</f>
        <v>2059</v>
      </c>
      <c r="D60" s="161">
        <f>IF(F59+SUM(E$17:E59)=D$10,F59,D$10-SUM(E$17:E59))</f>
        <v>0</v>
      </c>
      <c r="E60" s="162">
        <f>IF(+I14&lt;F59,I14,D60)</f>
        <v>0</v>
      </c>
      <c r="F60" s="161">
        <f t="shared" si="3"/>
        <v>0</v>
      </c>
      <c r="G60" s="163">
        <f t="shared" si="4"/>
        <v>0</v>
      </c>
      <c r="H60" s="145">
        <f t="shared" si="5"/>
        <v>0</v>
      </c>
      <c r="I60" s="158">
        <f t="shared" si="0"/>
        <v>0</v>
      </c>
      <c r="J60" s="158"/>
      <c r="K60" s="316"/>
      <c r="L60" s="160">
        <f t="shared" si="6"/>
        <v>0</v>
      </c>
      <c r="M60" s="316"/>
      <c r="N60" s="160">
        <f t="shared" si="1"/>
        <v>0</v>
      </c>
      <c r="O60" s="160">
        <f t="shared" si="2"/>
        <v>0</v>
      </c>
      <c r="P60" s="4"/>
      <c r="R60" s="1"/>
      <c r="S60" s="1"/>
      <c r="T60" s="1"/>
      <c r="U60" s="1"/>
    </row>
    <row r="61" spans="3:21">
      <c r="C61" s="155">
        <f>IF(D11="","-",+C60+1)</f>
        <v>2060</v>
      </c>
      <c r="D61" s="161">
        <f>IF(F60+SUM(E$17:E60)=D$10,F60,D$10-SUM(E$17:E60))</f>
        <v>0</v>
      </c>
      <c r="E61" s="162">
        <f>IF(+I14&lt;F60,I14,D61)</f>
        <v>0</v>
      </c>
      <c r="F61" s="161">
        <f t="shared" si="3"/>
        <v>0</v>
      </c>
      <c r="G61" s="163">
        <f t="shared" si="4"/>
        <v>0</v>
      </c>
      <c r="H61" s="145">
        <f t="shared" si="5"/>
        <v>0</v>
      </c>
      <c r="I61" s="158">
        <f t="shared" si="0"/>
        <v>0</v>
      </c>
      <c r="J61" s="158"/>
      <c r="K61" s="316"/>
      <c r="L61" s="160">
        <f t="shared" si="6"/>
        <v>0</v>
      </c>
      <c r="M61" s="316"/>
      <c r="N61" s="160">
        <f t="shared" si="1"/>
        <v>0</v>
      </c>
      <c r="O61" s="160">
        <f t="shared" si="2"/>
        <v>0</v>
      </c>
      <c r="P61" s="4"/>
      <c r="R61" s="1"/>
      <c r="S61" s="1"/>
      <c r="T61" s="1"/>
      <c r="U61" s="1"/>
    </row>
    <row r="62" spans="3:21">
      <c r="C62" s="155">
        <f>IF(D11="","-",+C61+1)</f>
        <v>2061</v>
      </c>
      <c r="D62" s="161">
        <f>IF(F61+SUM(E$17:E61)=D$10,F61,D$10-SUM(E$17:E61))</f>
        <v>0</v>
      </c>
      <c r="E62" s="162">
        <f>IF(+I14&lt;F61,I14,D62)</f>
        <v>0</v>
      </c>
      <c r="F62" s="161">
        <f t="shared" si="3"/>
        <v>0</v>
      </c>
      <c r="G62" s="163">
        <f t="shared" si="4"/>
        <v>0</v>
      </c>
      <c r="H62" s="145">
        <f t="shared" si="5"/>
        <v>0</v>
      </c>
      <c r="I62" s="158">
        <f t="shared" si="0"/>
        <v>0</v>
      </c>
      <c r="J62" s="158"/>
      <c r="K62" s="316"/>
      <c r="L62" s="160">
        <f t="shared" si="6"/>
        <v>0</v>
      </c>
      <c r="M62" s="316"/>
      <c r="N62" s="160">
        <f t="shared" si="1"/>
        <v>0</v>
      </c>
      <c r="O62" s="160">
        <f t="shared" si="2"/>
        <v>0</v>
      </c>
      <c r="P62" s="4"/>
      <c r="R62" s="1"/>
      <c r="S62" s="1"/>
      <c r="T62" s="1"/>
      <c r="U62" s="1"/>
    </row>
    <row r="63" spans="3:21">
      <c r="C63" s="155">
        <f>IF(D11="","-",+C62+1)</f>
        <v>2062</v>
      </c>
      <c r="D63" s="161">
        <f>IF(F62+SUM(E$17:E62)=D$10,F62,D$10-SUM(E$17:E62))</f>
        <v>0</v>
      </c>
      <c r="E63" s="162">
        <f>IF(+I14&lt;F62,I14,D63)</f>
        <v>0</v>
      </c>
      <c r="F63" s="161">
        <f t="shared" si="3"/>
        <v>0</v>
      </c>
      <c r="G63" s="163">
        <f t="shared" si="4"/>
        <v>0</v>
      </c>
      <c r="H63" s="145">
        <f t="shared" si="5"/>
        <v>0</v>
      </c>
      <c r="I63" s="158">
        <f t="shared" si="0"/>
        <v>0</v>
      </c>
      <c r="J63" s="158"/>
      <c r="K63" s="316"/>
      <c r="L63" s="160">
        <f t="shared" si="6"/>
        <v>0</v>
      </c>
      <c r="M63" s="316"/>
      <c r="N63" s="160">
        <f t="shared" si="1"/>
        <v>0</v>
      </c>
      <c r="O63" s="160">
        <f t="shared" si="2"/>
        <v>0</v>
      </c>
      <c r="P63" s="4"/>
      <c r="R63" s="1"/>
      <c r="S63" s="1"/>
      <c r="T63" s="1"/>
      <c r="U63" s="1"/>
    </row>
    <row r="64" spans="3:21">
      <c r="C64" s="155">
        <f>IF(D11="","-",+C63+1)</f>
        <v>2063</v>
      </c>
      <c r="D64" s="161">
        <f>IF(F63+SUM(E$17:E63)=D$10,F63,D$10-SUM(E$17:E63))</f>
        <v>0</v>
      </c>
      <c r="E64" s="162">
        <f>IF(+I14&lt;F63,I14,D64)</f>
        <v>0</v>
      </c>
      <c r="F64" s="161">
        <f t="shared" si="3"/>
        <v>0</v>
      </c>
      <c r="G64" s="163">
        <f t="shared" si="4"/>
        <v>0</v>
      </c>
      <c r="H64" s="145">
        <f t="shared" si="5"/>
        <v>0</v>
      </c>
      <c r="I64" s="158">
        <f t="shared" si="0"/>
        <v>0</v>
      </c>
      <c r="J64" s="158"/>
      <c r="K64" s="316"/>
      <c r="L64" s="160">
        <f t="shared" si="6"/>
        <v>0</v>
      </c>
      <c r="M64" s="316"/>
      <c r="N64" s="160">
        <f t="shared" si="1"/>
        <v>0</v>
      </c>
      <c r="O64" s="160">
        <f t="shared" si="2"/>
        <v>0</v>
      </c>
      <c r="P64" s="4"/>
      <c r="R64" s="1"/>
      <c r="S64" s="1"/>
      <c r="T64" s="1"/>
      <c r="U64" s="1"/>
    </row>
    <row r="65" spans="2:21">
      <c r="C65" s="155">
        <f>IF(D11="","-",+C64+1)</f>
        <v>2064</v>
      </c>
      <c r="D65" s="161">
        <f>IF(F64+SUM(E$17:E64)=D$10,F64,D$10-SUM(E$17:E64))</f>
        <v>0</v>
      </c>
      <c r="E65" s="162">
        <f>IF(+I14&lt;F64,I14,D65)</f>
        <v>0</v>
      </c>
      <c r="F65" s="161">
        <f t="shared" si="3"/>
        <v>0</v>
      </c>
      <c r="G65" s="163">
        <f t="shared" si="4"/>
        <v>0</v>
      </c>
      <c r="H65" s="145">
        <f t="shared" si="5"/>
        <v>0</v>
      </c>
      <c r="I65" s="158">
        <f t="shared" si="0"/>
        <v>0</v>
      </c>
      <c r="J65" s="158"/>
      <c r="K65" s="316"/>
      <c r="L65" s="160">
        <f t="shared" si="6"/>
        <v>0</v>
      </c>
      <c r="M65" s="316"/>
      <c r="N65" s="160">
        <f t="shared" si="1"/>
        <v>0</v>
      </c>
      <c r="O65" s="160">
        <f t="shared" si="2"/>
        <v>0</v>
      </c>
      <c r="P65" s="4"/>
      <c r="R65" s="1"/>
      <c r="S65" s="1"/>
      <c r="T65" s="1"/>
      <c r="U65" s="1"/>
    </row>
    <row r="66" spans="2:21">
      <c r="C66" s="155">
        <f>IF(D11="","-",+C65+1)</f>
        <v>2065</v>
      </c>
      <c r="D66" s="161">
        <f>IF(F65+SUM(E$17:E65)=D$10,F65,D$10-SUM(E$17:E65))</f>
        <v>0</v>
      </c>
      <c r="E66" s="162">
        <f>IF(+I14&lt;F65,I14,D66)</f>
        <v>0</v>
      </c>
      <c r="F66" s="161">
        <f t="shared" si="3"/>
        <v>0</v>
      </c>
      <c r="G66" s="163">
        <f t="shared" si="4"/>
        <v>0</v>
      </c>
      <c r="H66" s="145">
        <f t="shared" si="5"/>
        <v>0</v>
      </c>
      <c r="I66" s="158">
        <f t="shared" si="0"/>
        <v>0</v>
      </c>
      <c r="J66" s="158"/>
      <c r="K66" s="316"/>
      <c r="L66" s="160">
        <f t="shared" si="6"/>
        <v>0</v>
      </c>
      <c r="M66" s="316"/>
      <c r="N66" s="160">
        <f t="shared" si="1"/>
        <v>0</v>
      </c>
      <c r="O66" s="160">
        <f t="shared" si="2"/>
        <v>0</v>
      </c>
      <c r="P66" s="4"/>
      <c r="R66" s="1"/>
      <c r="S66" s="1"/>
      <c r="T66" s="1"/>
      <c r="U66" s="1"/>
    </row>
    <row r="67" spans="2:21">
      <c r="C67" s="155">
        <f>IF(D11="","-",+C66+1)</f>
        <v>2066</v>
      </c>
      <c r="D67" s="161">
        <f>IF(F66+SUM(E$17:E66)=D$10,F66,D$10-SUM(E$17:E66))</f>
        <v>0</v>
      </c>
      <c r="E67" s="162">
        <f>IF(+I14&lt;F66,I14,D67)</f>
        <v>0</v>
      </c>
      <c r="F67" s="161">
        <f t="shared" si="3"/>
        <v>0</v>
      </c>
      <c r="G67" s="163">
        <f t="shared" si="4"/>
        <v>0</v>
      </c>
      <c r="H67" s="145">
        <f t="shared" si="5"/>
        <v>0</v>
      </c>
      <c r="I67" s="158">
        <f t="shared" si="0"/>
        <v>0</v>
      </c>
      <c r="J67" s="158"/>
      <c r="K67" s="316"/>
      <c r="L67" s="160">
        <f t="shared" si="6"/>
        <v>0</v>
      </c>
      <c r="M67" s="316"/>
      <c r="N67" s="160">
        <f t="shared" si="1"/>
        <v>0</v>
      </c>
      <c r="O67" s="160">
        <f t="shared" si="2"/>
        <v>0</v>
      </c>
      <c r="P67" s="4"/>
      <c r="R67" s="1"/>
      <c r="S67" s="1"/>
      <c r="T67" s="1"/>
      <c r="U67" s="1"/>
    </row>
    <row r="68" spans="2:21">
      <c r="C68" s="155">
        <f>IF(D11="","-",+C67+1)</f>
        <v>2067</v>
      </c>
      <c r="D68" s="161">
        <f>IF(F67+SUM(E$17:E67)=D$10,F67,D$10-SUM(E$17:E67))</f>
        <v>0</v>
      </c>
      <c r="E68" s="162">
        <f>IF(+I14&lt;F67,I14,D68)</f>
        <v>0</v>
      </c>
      <c r="F68" s="161">
        <f t="shared" si="3"/>
        <v>0</v>
      </c>
      <c r="G68" s="163">
        <f t="shared" si="4"/>
        <v>0</v>
      </c>
      <c r="H68" s="145">
        <f t="shared" si="5"/>
        <v>0</v>
      </c>
      <c r="I68" s="158">
        <f t="shared" si="0"/>
        <v>0</v>
      </c>
      <c r="J68" s="158"/>
      <c r="K68" s="316"/>
      <c r="L68" s="160">
        <f t="shared" si="6"/>
        <v>0</v>
      </c>
      <c r="M68" s="316"/>
      <c r="N68" s="160">
        <f t="shared" si="1"/>
        <v>0</v>
      </c>
      <c r="O68" s="160">
        <f t="shared" si="2"/>
        <v>0</v>
      </c>
      <c r="P68" s="4"/>
      <c r="R68" s="1"/>
      <c r="S68" s="1"/>
      <c r="T68" s="1"/>
      <c r="U68" s="1"/>
    </row>
    <row r="69" spans="2:21">
      <c r="C69" s="155">
        <f>IF(D11="","-",+C68+1)</f>
        <v>2068</v>
      </c>
      <c r="D69" s="161">
        <f>IF(F68+SUM(E$17:E68)=D$10,F68,D$10-SUM(E$17:E68))</f>
        <v>0</v>
      </c>
      <c r="E69" s="162">
        <f>IF(+I14&lt;F68,I14,D69)</f>
        <v>0</v>
      </c>
      <c r="F69" s="161">
        <f t="shared" si="3"/>
        <v>0</v>
      </c>
      <c r="G69" s="163">
        <f t="shared" si="4"/>
        <v>0</v>
      </c>
      <c r="H69" s="145">
        <f t="shared" si="5"/>
        <v>0</v>
      </c>
      <c r="I69" s="158">
        <f t="shared" si="0"/>
        <v>0</v>
      </c>
      <c r="J69" s="158"/>
      <c r="K69" s="316"/>
      <c r="L69" s="160">
        <f t="shared" si="6"/>
        <v>0</v>
      </c>
      <c r="M69" s="316"/>
      <c r="N69" s="160">
        <f t="shared" si="1"/>
        <v>0</v>
      </c>
      <c r="O69" s="160">
        <f t="shared" si="2"/>
        <v>0</v>
      </c>
      <c r="P69" s="4"/>
      <c r="R69" s="1"/>
      <c r="S69" s="1"/>
      <c r="T69" s="1"/>
      <c r="U69" s="1"/>
    </row>
    <row r="70" spans="2:21">
      <c r="C70" s="155">
        <f>IF(D11="","-",+C69+1)</f>
        <v>2069</v>
      </c>
      <c r="D70" s="161">
        <f>IF(F69+SUM(E$17:E69)=D$10,F69,D$10-SUM(E$17:E69))</f>
        <v>0</v>
      </c>
      <c r="E70" s="162">
        <f>IF(+I14&lt;F69,I14,D70)</f>
        <v>0</v>
      </c>
      <c r="F70" s="161">
        <f t="shared" si="3"/>
        <v>0</v>
      </c>
      <c r="G70" s="163">
        <f t="shared" si="4"/>
        <v>0</v>
      </c>
      <c r="H70" s="145">
        <f t="shared" si="5"/>
        <v>0</v>
      </c>
      <c r="I70" s="158">
        <f t="shared" si="0"/>
        <v>0</v>
      </c>
      <c r="J70" s="158"/>
      <c r="K70" s="316"/>
      <c r="L70" s="160">
        <f t="shared" si="6"/>
        <v>0</v>
      </c>
      <c r="M70" s="316"/>
      <c r="N70" s="160">
        <f t="shared" si="1"/>
        <v>0</v>
      </c>
      <c r="O70" s="160">
        <f t="shared" si="2"/>
        <v>0</v>
      </c>
      <c r="P70" s="4"/>
      <c r="R70" s="1"/>
      <c r="S70" s="1"/>
      <c r="T70" s="1"/>
      <c r="U70" s="1"/>
    </row>
    <row r="71" spans="2:21">
      <c r="C71" s="155">
        <f>IF(D11="","-",+C70+1)</f>
        <v>2070</v>
      </c>
      <c r="D71" s="161">
        <f>IF(F70+SUM(E$17:E70)=D$10,F70,D$10-SUM(E$17:E70))</f>
        <v>0</v>
      </c>
      <c r="E71" s="162">
        <f>IF(+I14&lt;F70,I14,D71)</f>
        <v>0</v>
      </c>
      <c r="F71" s="161">
        <f t="shared" si="3"/>
        <v>0</v>
      </c>
      <c r="G71" s="163">
        <f t="shared" si="4"/>
        <v>0</v>
      </c>
      <c r="H71" s="145">
        <f t="shared" si="5"/>
        <v>0</v>
      </c>
      <c r="I71" s="158">
        <f t="shared" si="0"/>
        <v>0</v>
      </c>
      <c r="J71" s="158"/>
      <c r="K71" s="316"/>
      <c r="L71" s="160">
        <f t="shared" si="6"/>
        <v>0</v>
      </c>
      <c r="M71" s="316"/>
      <c r="N71" s="160">
        <f t="shared" si="1"/>
        <v>0</v>
      </c>
      <c r="O71" s="160">
        <f t="shared" si="2"/>
        <v>0</v>
      </c>
      <c r="P71" s="4"/>
      <c r="R71" s="1"/>
      <c r="S71" s="1"/>
      <c r="T71" s="1"/>
      <c r="U71" s="1"/>
    </row>
    <row r="72" spans="2:21">
      <c r="C72" s="155">
        <f>IF(D11="","-",+C71+1)</f>
        <v>2071</v>
      </c>
      <c r="D72" s="161">
        <f>IF(F71+SUM(E$17:E71)=D$10,F71,D$10-SUM(E$17:E71))</f>
        <v>0</v>
      </c>
      <c r="E72" s="162">
        <f>IF(+I14&lt;F71,I14,D72)</f>
        <v>0</v>
      </c>
      <c r="F72" s="161">
        <f t="shared" si="3"/>
        <v>0</v>
      </c>
      <c r="G72" s="163">
        <f t="shared" si="4"/>
        <v>0</v>
      </c>
      <c r="H72" s="145">
        <f t="shared" si="5"/>
        <v>0</v>
      </c>
      <c r="I72" s="158">
        <f t="shared" si="0"/>
        <v>0</v>
      </c>
      <c r="J72" s="158"/>
      <c r="K72" s="316"/>
      <c r="L72" s="160">
        <f t="shared" si="6"/>
        <v>0</v>
      </c>
      <c r="M72" s="316"/>
      <c r="N72" s="160">
        <f t="shared" si="1"/>
        <v>0</v>
      </c>
      <c r="O72" s="160">
        <f t="shared" si="2"/>
        <v>0</v>
      </c>
      <c r="P72" s="4"/>
      <c r="R72" s="1"/>
      <c r="S72" s="1"/>
      <c r="T72" s="1"/>
      <c r="U72" s="1"/>
    </row>
    <row r="73" spans="2:21" ht="13.5" thickBot="1">
      <c r="C73" s="166">
        <f>IF(D11="","-",+C72+1)</f>
        <v>2072</v>
      </c>
      <c r="D73" s="167">
        <f>IF(F72+SUM(E$17:E72)=D$10,F72,D$10-SUM(E$17:E72))</f>
        <v>0</v>
      </c>
      <c r="E73" s="168">
        <f>IF(+I14&lt;F72,I14,D73)</f>
        <v>0</v>
      </c>
      <c r="F73" s="167">
        <f t="shared" si="3"/>
        <v>0</v>
      </c>
      <c r="G73" s="167">
        <f t="shared" si="4"/>
        <v>0</v>
      </c>
      <c r="H73" s="167">
        <f t="shared" si="5"/>
        <v>0</v>
      </c>
      <c r="I73" s="170">
        <f t="shared" si="0"/>
        <v>0</v>
      </c>
      <c r="J73" s="158"/>
      <c r="K73" s="317"/>
      <c r="L73" s="171">
        <f t="shared" si="6"/>
        <v>0</v>
      </c>
      <c r="M73" s="317"/>
      <c r="N73" s="171">
        <f t="shared" si="1"/>
        <v>0</v>
      </c>
      <c r="O73" s="171">
        <f t="shared" si="2"/>
        <v>0</v>
      </c>
      <c r="P73" s="4"/>
      <c r="R73" s="1"/>
      <c r="S73" s="1"/>
      <c r="T73" s="1"/>
      <c r="U73" s="1"/>
    </row>
    <row r="74" spans="2:21">
      <c r="C74" s="156" t="s">
        <v>75</v>
      </c>
      <c r="D74" s="112"/>
      <c r="E74" s="112">
        <f>SUM(E17:E73)</f>
        <v>69121596</v>
      </c>
      <c r="F74" s="112"/>
      <c r="G74" s="112">
        <f>SUM(G17:G73)</f>
        <v>235819592.67027527</v>
      </c>
      <c r="H74" s="112">
        <f>SUM(H17:H73)</f>
        <v>235819592.67027527</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0" t="str">
        <f ca="1">P1</f>
        <v>OKT Project 14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9552229.3614855185</v>
      </c>
      <c r="N88" s="198">
        <f>IF(J93&lt;D11,0,VLOOKUP(J93,C17:O73,11))</f>
        <v>9552229.3614855185</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8639029.6924960874</v>
      </c>
      <c r="N89" s="200">
        <f>IF(J93&lt;D11,0,VLOOKUP(J93,C100:P155,7))</f>
        <v>8639029.6924960874</v>
      </c>
      <c r="O89" s="201">
        <f>+N89-M89</f>
        <v>0</v>
      </c>
      <c r="P89" s="1"/>
      <c r="Q89" s="1"/>
      <c r="R89" s="1"/>
      <c r="S89" s="1"/>
      <c r="T89" s="1"/>
      <c r="U89" s="1"/>
    </row>
    <row r="90" spans="1:21" ht="13.5" thickBot="1">
      <c r="C90" s="124" t="s">
        <v>82</v>
      </c>
      <c r="D90" s="243" t="str">
        <f>+D7</f>
        <v>Valliant-NW Texarkana 345 kV</v>
      </c>
      <c r="E90" s="1"/>
      <c r="F90" s="1"/>
      <c r="G90" s="1"/>
      <c r="H90" s="1"/>
      <c r="I90" s="3"/>
      <c r="J90" s="3"/>
      <c r="K90" s="256"/>
      <c r="L90" s="257" t="s">
        <v>135</v>
      </c>
      <c r="M90" s="203">
        <f>+M89-M88</f>
        <v>-913199.66898943111</v>
      </c>
      <c r="N90" s="203">
        <f>+N89-N88</f>
        <v>-913199.66898943111</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 2009089</v>
      </c>
      <c r="E92" s="206"/>
      <c r="F92" s="206"/>
      <c r="G92" s="206"/>
      <c r="H92" s="206"/>
      <c r="I92" s="206"/>
      <c r="J92" s="206"/>
      <c r="K92" s="207"/>
      <c r="P92" s="134"/>
      <c r="Q92" s="1"/>
      <c r="R92" s="1"/>
      <c r="S92" s="1"/>
      <c r="T92" s="1"/>
      <c r="U92" s="1"/>
    </row>
    <row r="93" spans="1:21">
      <c r="C93" s="139" t="s">
        <v>49</v>
      </c>
      <c r="D93" s="136">
        <v>68230088</v>
      </c>
      <c r="E93" s="23" t="s">
        <v>84</v>
      </c>
      <c r="H93" s="137"/>
      <c r="I93" s="137"/>
      <c r="J93" s="138">
        <f>+'OKT.WS.G.BPU.ATRR.True-up'!M16</f>
        <v>2018</v>
      </c>
      <c r="K93" s="133"/>
      <c r="L93" s="112" t="s">
        <v>85</v>
      </c>
      <c r="P93" s="4"/>
      <c r="Q93" s="1"/>
      <c r="R93" s="1"/>
      <c r="S93" s="1"/>
      <c r="T93" s="1"/>
      <c r="U93" s="1"/>
    </row>
    <row r="94" spans="1:21">
      <c r="C94" s="139" t="s">
        <v>52</v>
      </c>
      <c r="D94" s="218">
        <f>IF(D11=I10,"",D11)</f>
        <v>2016</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7">
        <f>IF(D11=I10,"",D12)</f>
        <v>12</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1895280.2222222222</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C100" s="155">
        <f>IF(D94= "","-",D94)</f>
        <v>2016</v>
      </c>
      <c r="D100" s="373">
        <v>0</v>
      </c>
      <c r="E100" s="375">
        <v>1692714.9</v>
      </c>
      <c r="F100" s="377">
        <v>67708596</v>
      </c>
      <c r="G100" s="377">
        <v>33854298</v>
      </c>
      <c r="H100" s="375">
        <v>3668771.9731289423</v>
      </c>
      <c r="I100" s="376">
        <v>3668771.9731289423</v>
      </c>
      <c r="J100" s="160">
        <f t="shared" ref="J100:J131" si="7">+I100-H100</f>
        <v>0</v>
      </c>
      <c r="K100" s="160"/>
      <c r="L100" s="315">
        <f>+H100</f>
        <v>3668771.9731289423</v>
      </c>
      <c r="M100" s="159">
        <f t="shared" ref="M100:M131" si="8">IF(L100&lt;&gt;0,+H100-L100,0)</f>
        <v>0</v>
      </c>
      <c r="N100" s="315">
        <f>+I100</f>
        <v>3668771.9731289423</v>
      </c>
      <c r="O100" s="159">
        <f t="shared" ref="O100:O131" si="9">IF(N100&lt;&gt;0,+I100-N100,0)</f>
        <v>0</v>
      </c>
      <c r="P100" s="159">
        <f t="shared" ref="P100:P131" si="10">+O100-M100</f>
        <v>0</v>
      </c>
      <c r="Q100" s="1"/>
      <c r="R100" s="1"/>
      <c r="S100" s="1"/>
      <c r="T100" s="1"/>
      <c r="U100" s="1"/>
    </row>
    <row r="101" spans="1:21">
      <c r="C101" s="155">
        <f>IF(D94="","-",+C100+1)</f>
        <v>2017</v>
      </c>
      <c r="D101" s="373">
        <v>66537373.100000001</v>
      </c>
      <c r="E101" s="375">
        <v>1705752.2</v>
      </c>
      <c r="F101" s="377">
        <v>64831620.899999999</v>
      </c>
      <c r="G101" s="377">
        <v>65684497</v>
      </c>
      <c r="H101" s="375">
        <v>9412899.4207950477</v>
      </c>
      <c r="I101" s="376">
        <v>9412899.4207950477</v>
      </c>
      <c r="J101" s="160">
        <f t="shared" si="7"/>
        <v>0</v>
      </c>
      <c r="K101" s="160"/>
      <c r="L101" s="316"/>
      <c r="M101" s="160">
        <f t="shared" si="8"/>
        <v>0</v>
      </c>
      <c r="N101" s="316"/>
      <c r="O101" s="160">
        <f t="shared" si="9"/>
        <v>0</v>
      </c>
      <c r="P101" s="160">
        <f t="shared" si="10"/>
        <v>0</v>
      </c>
      <c r="Q101" s="1"/>
      <c r="R101" s="1"/>
      <c r="S101" s="1"/>
      <c r="T101" s="1"/>
      <c r="U101" s="1"/>
    </row>
    <row r="102" spans="1:21">
      <c r="C102" s="155">
        <f>IF(D94="","-",+C101+1)</f>
        <v>2018</v>
      </c>
      <c r="D102" s="156">
        <f>IF(F101+SUM(E$100:E101)=D$93,F101,D$93-SUM(E$100:E101))</f>
        <v>64831620.899999999</v>
      </c>
      <c r="E102" s="162">
        <f>IF(+J97&lt;F101,J97,D102)</f>
        <v>1895280.2222222222</v>
      </c>
      <c r="F102" s="161">
        <f t="shared" ref="F102:F131" si="11">+D102-E102</f>
        <v>62936340.677777775</v>
      </c>
      <c r="G102" s="161">
        <f t="shared" ref="G102:G131" si="12">+(F102+D102)/2</f>
        <v>63883980.788888887</v>
      </c>
      <c r="H102" s="314">
        <f t="shared" ref="H102:H155" si="13">+J$95*G102+E102</f>
        <v>8639029.6924960874</v>
      </c>
      <c r="I102" s="323">
        <f t="shared" ref="I102:I155" si="14">+J$96*G102+E102</f>
        <v>8639029.6924960874</v>
      </c>
      <c r="J102" s="160">
        <f t="shared" si="7"/>
        <v>0</v>
      </c>
      <c r="K102" s="160"/>
      <c r="L102" s="316"/>
      <c r="M102" s="160">
        <f t="shared" si="8"/>
        <v>0</v>
      </c>
      <c r="N102" s="316"/>
      <c r="O102" s="160">
        <f t="shared" si="9"/>
        <v>0</v>
      </c>
      <c r="P102" s="160">
        <f t="shared" si="10"/>
        <v>0</v>
      </c>
      <c r="Q102" s="1"/>
      <c r="R102" s="1"/>
      <c r="S102" s="1"/>
      <c r="T102" s="1"/>
      <c r="U102" s="1"/>
    </row>
    <row r="103" spans="1:21">
      <c r="C103" s="155">
        <f>IF(D94="","-",+C102+1)</f>
        <v>2019</v>
      </c>
      <c r="D103" s="156">
        <f>IF(F102+SUM(E$100:E102)=D$93,F102,D$93-SUM(E$100:E102))</f>
        <v>62936340.677777775</v>
      </c>
      <c r="E103" s="162">
        <f>IF(+J97&lt;F102,J97,D103)</f>
        <v>1895280.2222222222</v>
      </c>
      <c r="F103" s="161">
        <f t="shared" si="11"/>
        <v>61041060.455555551</v>
      </c>
      <c r="G103" s="161">
        <f t="shared" si="12"/>
        <v>61988700.566666663</v>
      </c>
      <c r="H103" s="314">
        <f t="shared" si="13"/>
        <v>8438959.270509256</v>
      </c>
      <c r="I103" s="323">
        <f t="shared" si="14"/>
        <v>8438959.270509256</v>
      </c>
      <c r="J103" s="160">
        <f t="shared" si="7"/>
        <v>0</v>
      </c>
      <c r="K103" s="160"/>
      <c r="L103" s="316"/>
      <c r="M103" s="160">
        <f t="shared" si="8"/>
        <v>0</v>
      </c>
      <c r="N103" s="316"/>
      <c r="O103" s="160">
        <f t="shared" si="9"/>
        <v>0</v>
      </c>
      <c r="P103" s="160">
        <f t="shared" si="10"/>
        <v>0</v>
      </c>
      <c r="Q103" s="1"/>
      <c r="R103" s="1"/>
      <c r="S103" s="1"/>
      <c r="T103" s="1"/>
      <c r="U103" s="1"/>
    </row>
    <row r="104" spans="1:21">
      <c r="C104" s="155">
        <f>IF(D94="","-",+C103+1)</f>
        <v>2020</v>
      </c>
      <c r="D104" s="156">
        <f>IF(F103+SUM(E$100:E103)=D$93,F103,D$93-SUM(E$100:E103))</f>
        <v>61041060.455555551</v>
      </c>
      <c r="E104" s="162">
        <f>IF(+J97&lt;F103,J97,D104)</f>
        <v>1895280.2222222222</v>
      </c>
      <c r="F104" s="161">
        <f t="shared" si="11"/>
        <v>59145780.233333327</v>
      </c>
      <c r="G104" s="161">
        <f t="shared" si="12"/>
        <v>60093420.344444439</v>
      </c>
      <c r="H104" s="314">
        <f t="shared" si="13"/>
        <v>8238888.8485224238</v>
      </c>
      <c r="I104" s="323">
        <f t="shared" si="14"/>
        <v>8238888.8485224238</v>
      </c>
      <c r="J104" s="160">
        <f t="shared" si="7"/>
        <v>0</v>
      </c>
      <c r="K104" s="160"/>
      <c r="L104" s="316"/>
      <c r="M104" s="160">
        <f t="shared" si="8"/>
        <v>0</v>
      </c>
      <c r="N104" s="316"/>
      <c r="O104" s="160">
        <f t="shared" si="9"/>
        <v>0</v>
      </c>
      <c r="P104" s="160">
        <f t="shared" si="10"/>
        <v>0</v>
      </c>
      <c r="Q104" s="1"/>
      <c r="R104" s="1"/>
      <c r="S104" s="1"/>
      <c r="T104" s="1"/>
      <c r="U104" s="1"/>
    </row>
    <row r="105" spans="1:21">
      <c r="C105" s="155">
        <f>IF(D94="","-",+C104+1)</f>
        <v>2021</v>
      </c>
      <c r="D105" s="156">
        <f>IF(F104+SUM(E$100:E104)=D$93,F104,D$93-SUM(E$100:E104))</f>
        <v>59145780.233333327</v>
      </c>
      <c r="E105" s="162">
        <f>IF(+J97&lt;F104,J97,D105)</f>
        <v>1895280.2222222222</v>
      </c>
      <c r="F105" s="161">
        <f t="shared" si="11"/>
        <v>57250500.011111103</v>
      </c>
      <c r="G105" s="161">
        <f t="shared" si="12"/>
        <v>58198140.122222215</v>
      </c>
      <c r="H105" s="314">
        <f t="shared" si="13"/>
        <v>8038818.4265355924</v>
      </c>
      <c r="I105" s="323">
        <f t="shared" si="14"/>
        <v>8038818.4265355924</v>
      </c>
      <c r="J105" s="160">
        <f t="shared" si="7"/>
        <v>0</v>
      </c>
      <c r="K105" s="160"/>
      <c r="L105" s="316"/>
      <c r="M105" s="160">
        <f t="shared" si="8"/>
        <v>0</v>
      </c>
      <c r="N105" s="316"/>
      <c r="O105" s="160">
        <f t="shared" si="9"/>
        <v>0</v>
      </c>
      <c r="P105" s="160">
        <f t="shared" si="10"/>
        <v>0</v>
      </c>
      <c r="Q105" s="1"/>
      <c r="R105" s="1"/>
      <c r="S105" s="1"/>
      <c r="T105" s="1"/>
      <c r="U105" s="1"/>
    </row>
    <row r="106" spans="1:21">
      <c r="C106" s="155">
        <f>IF(D94="","-",+C105+1)</f>
        <v>2022</v>
      </c>
      <c r="D106" s="156">
        <f>IF(F105+SUM(E$100:E105)=D$93,F105,D$93-SUM(E$100:E105))</f>
        <v>57250500.011111103</v>
      </c>
      <c r="E106" s="162">
        <f>IF(+J97&lt;F105,J97,D106)</f>
        <v>1895280.2222222222</v>
      </c>
      <c r="F106" s="161">
        <f t="shared" si="11"/>
        <v>55355219.788888879</v>
      </c>
      <c r="G106" s="161">
        <f t="shared" si="12"/>
        <v>56302859.899999991</v>
      </c>
      <c r="H106" s="314">
        <f t="shared" si="13"/>
        <v>7838748.0045487601</v>
      </c>
      <c r="I106" s="323">
        <f t="shared" si="14"/>
        <v>7838748.0045487601</v>
      </c>
      <c r="J106" s="160">
        <f t="shared" si="7"/>
        <v>0</v>
      </c>
      <c r="K106" s="160"/>
      <c r="L106" s="316"/>
      <c r="M106" s="160">
        <f t="shared" si="8"/>
        <v>0</v>
      </c>
      <c r="N106" s="316"/>
      <c r="O106" s="160">
        <f t="shared" si="9"/>
        <v>0</v>
      </c>
      <c r="P106" s="160">
        <f t="shared" si="10"/>
        <v>0</v>
      </c>
      <c r="Q106" s="1"/>
      <c r="R106" s="1"/>
      <c r="S106" s="1"/>
      <c r="T106" s="1"/>
      <c r="U106" s="1"/>
    </row>
    <row r="107" spans="1:21">
      <c r="C107" s="155">
        <f>IF(D94="","-",+C106+1)</f>
        <v>2023</v>
      </c>
      <c r="D107" s="156">
        <f>IF(F106+SUM(E$100:E106)=D$93,F106,D$93-SUM(E$100:E106))</f>
        <v>55355219.788888879</v>
      </c>
      <c r="E107" s="162">
        <f>IF(+J97&lt;F106,J97,D107)</f>
        <v>1895280.2222222222</v>
      </c>
      <c r="F107" s="161">
        <f t="shared" si="11"/>
        <v>53459939.566666655</v>
      </c>
      <c r="G107" s="161">
        <f t="shared" si="12"/>
        <v>54407579.677777767</v>
      </c>
      <c r="H107" s="314">
        <f t="shared" si="13"/>
        <v>7638677.5825619288</v>
      </c>
      <c r="I107" s="323">
        <f t="shared" si="14"/>
        <v>7638677.5825619288</v>
      </c>
      <c r="J107" s="160">
        <f t="shared" si="7"/>
        <v>0</v>
      </c>
      <c r="K107" s="160"/>
      <c r="L107" s="316"/>
      <c r="M107" s="160">
        <f t="shared" si="8"/>
        <v>0</v>
      </c>
      <c r="N107" s="316"/>
      <c r="O107" s="160">
        <f t="shared" si="9"/>
        <v>0</v>
      </c>
      <c r="P107" s="160">
        <f t="shared" si="10"/>
        <v>0</v>
      </c>
      <c r="Q107" s="1"/>
      <c r="R107" s="1"/>
      <c r="S107" s="1"/>
      <c r="T107" s="1"/>
      <c r="U107" s="1"/>
    </row>
    <row r="108" spans="1:21">
      <c r="C108" s="155">
        <f>IF(D94="","-",+C107+1)</f>
        <v>2024</v>
      </c>
      <c r="D108" s="156">
        <f>IF(F107+SUM(E$100:E107)=D$93,F107,D$93-SUM(E$100:E107))</f>
        <v>53459939.566666655</v>
      </c>
      <c r="E108" s="162">
        <f>IF(+J97&lt;F107,J97,D108)</f>
        <v>1895280.2222222222</v>
      </c>
      <c r="F108" s="161">
        <f t="shared" si="11"/>
        <v>51564659.344444431</v>
      </c>
      <c r="G108" s="161">
        <f t="shared" si="12"/>
        <v>52512299.455555543</v>
      </c>
      <c r="H108" s="314">
        <f t="shared" si="13"/>
        <v>7438607.1605750965</v>
      </c>
      <c r="I108" s="323">
        <f t="shared" si="14"/>
        <v>7438607.1605750965</v>
      </c>
      <c r="J108" s="160">
        <f t="shared" si="7"/>
        <v>0</v>
      </c>
      <c r="K108" s="160"/>
      <c r="L108" s="316"/>
      <c r="M108" s="160">
        <f t="shared" si="8"/>
        <v>0</v>
      </c>
      <c r="N108" s="316"/>
      <c r="O108" s="160">
        <f t="shared" si="9"/>
        <v>0</v>
      </c>
      <c r="P108" s="160">
        <f t="shared" si="10"/>
        <v>0</v>
      </c>
      <c r="Q108" s="1"/>
      <c r="R108" s="1"/>
      <c r="S108" s="1"/>
      <c r="T108" s="1"/>
      <c r="U108" s="1"/>
    </row>
    <row r="109" spans="1:21">
      <c r="C109" s="155">
        <f>IF(D94="","-",+C108+1)</f>
        <v>2025</v>
      </c>
      <c r="D109" s="156">
        <f>IF(F108+SUM(E$100:E108)=D$93,F108,D$93-SUM(E$100:E108))</f>
        <v>51564659.344444431</v>
      </c>
      <c r="E109" s="162">
        <f>IF(+J97&lt;F108,J97,D109)</f>
        <v>1895280.2222222222</v>
      </c>
      <c r="F109" s="161">
        <f t="shared" si="11"/>
        <v>49669379.122222207</v>
      </c>
      <c r="G109" s="161">
        <f t="shared" si="12"/>
        <v>50617019.233333319</v>
      </c>
      <c r="H109" s="314">
        <f t="shared" si="13"/>
        <v>7238536.7385882651</v>
      </c>
      <c r="I109" s="323">
        <f t="shared" si="14"/>
        <v>7238536.7385882651</v>
      </c>
      <c r="J109" s="160">
        <f t="shared" si="7"/>
        <v>0</v>
      </c>
      <c r="K109" s="160"/>
      <c r="L109" s="316"/>
      <c r="M109" s="160">
        <f t="shared" si="8"/>
        <v>0</v>
      </c>
      <c r="N109" s="316"/>
      <c r="O109" s="160">
        <f t="shared" si="9"/>
        <v>0</v>
      </c>
      <c r="P109" s="160">
        <f t="shared" si="10"/>
        <v>0</v>
      </c>
      <c r="Q109" s="1"/>
      <c r="R109" s="1"/>
      <c r="S109" s="1"/>
      <c r="T109" s="1"/>
      <c r="U109" s="1"/>
    </row>
    <row r="110" spans="1:21">
      <c r="C110" s="155">
        <f>IF(D94="","-",+C109+1)</f>
        <v>2026</v>
      </c>
      <c r="D110" s="156">
        <f>IF(F109+SUM(E$100:E109)=D$93,F109,D$93-SUM(E$100:E109))</f>
        <v>49669379.122222207</v>
      </c>
      <c r="E110" s="162">
        <f>IF(+J97&lt;F109,J97,D110)</f>
        <v>1895280.2222222222</v>
      </c>
      <c r="F110" s="161">
        <f t="shared" si="11"/>
        <v>47774098.899999984</v>
      </c>
      <c r="G110" s="161">
        <f t="shared" si="12"/>
        <v>48721739.011111096</v>
      </c>
      <c r="H110" s="314">
        <f t="shared" si="13"/>
        <v>7038466.3166014329</v>
      </c>
      <c r="I110" s="323">
        <f t="shared" si="14"/>
        <v>7038466.3166014329</v>
      </c>
      <c r="J110" s="160">
        <f t="shared" si="7"/>
        <v>0</v>
      </c>
      <c r="K110" s="160"/>
      <c r="L110" s="316"/>
      <c r="M110" s="160">
        <f t="shared" si="8"/>
        <v>0</v>
      </c>
      <c r="N110" s="316"/>
      <c r="O110" s="160">
        <f t="shared" si="9"/>
        <v>0</v>
      </c>
      <c r="P110" s="160">
        <f t="shared" si="10"/>
        <v>0</v>
      </c>
      <c r="Q110" s="1"/>
      <c r="R110" s="1"/>
      <c r="S110" s="1"/>
      <c r="T110" s="1"/>
      <c r="U110" s="1"/>
    </row>
    <row r="111" spans="1:21">
      <c r="C111" s="155">
        <f>IF(D94="","-",+C110+1)</f>
        <v>2027</v>
      </c>
      <c r="D111" s="156">
        <f>IF(F110+SUM(E$100:E110)=D$93,F110,D$93-SUM(E$100:E110))</f>
        <v>47774098.899999984</v>
      </c>
      <c r="E111" s="162">
        <f>IF(+J97&lt;F110,J97,D111)</f>
        <v>1895280.2222222222</v>
      </c>
      <c r="F111" s="161">
        <f t="shared" si="11"/>
        <v>45878818.67777776</v>
      </c>
      <c r="G111" s="161">
        <f t="shared" si="12"/>
        <v>46826458.788888872</v>
      </c>
      <c r="H111" s="314">
        <f t="shared" si="13"/>
        <v>6838395.8946146015</v>
      </c>
      <c r="I111" s="323">
        <f t="shared" si="14"/>
        <v>6838395.8946146015</v>
      </c>
      <c r="J111" s="160">
        <f t="shared" si="7"/>
        <v>0</v>
      </c>
      <c r="K111" s="160"/>
      <c r="L111" s="316"/>
      <c r="M111" s="160">
        <f t="shared" si="8"/>
        <v>0</v>
      </c>
      <c r="N111" s="316"/>
      <c r="O111" s="160">
        <f t="shared" si="9"/>
        <v>0</v>
      </c>
      <c r="P111" s="160">
        <f t="shared" si="10"/>
        <v>0</v>
      </c>
      <c r="Q111" s="1"/>
      <c r="R111" s="1"/>
      <c r="S111" s="1"/>
      <c r="T111" s="1"/>
      <c r="U111" s="1"/>
    </row>
    <row r="112" spans="1:21">
      <c r="C112" s="155">
        <f>IF(D94="","-",+C111+1)</f>
        <v>2028</v>
      </c>
      <c r="D112" s="156">
        <f>IF(F111+SUM(E$100:E111)=D$93,F111,D$93-SUM(E$100:E111))</f>
        <v>45878818.67777776</v>
      </c>
      <c r="E112" s="162">
        <f>IF(+J97&lt;F111,J97,D112)</f>
        <v>1895280.2222222222</v>
      </c>
      <c r="F112" s="161">
        <f t="shared" si="11"/>
        <v>43983538.455555536</v>
      </c>
      <c r="G112" s="161">
        <f t="shared" si="12"/>
        <v>44931178.566666648</v>
      </c>
      <c r="H112" s="314">
        <f t="shared" si="13"/>
        <v>6638325.4726277692</v>
      </c>
      <c r="I112" s="323">
        <f t="shared" si="14"/>
        <v>6638325.4726277692</v>
      </c>
      <c r="J112" s="160">
        <f t="shared" si="7"/>
        <v>0</v>
      </c>
      <c r="K112" s="160"/>
      <c r="L112" s="316"/>
      <c r="M112" s="160">
        <f t="shared" si="8"/>
        <v>0</v>
      </c>
      <c r="N112" s="316"/>
      <c r="O112" s="160">
        <f t="shared" si="9"/>
        <v>0</v>
      </c>
      <c r="P112" s="160">
        <f t="shared" si="10"/>
        <v>0</v>
      </c>
      <c r="Q112" s="1"/>
      <c r="R112" s="1"/>
      <c r="S112" s="1"/>
      <c r="T112" s="1"/>
      <c r="U112" s="1"/>
    </row>
    <row r="113" spans="3:21">
      <c r="C113" s="155">
        <f>IF(D94="","-",+C112+1)</f>
        <v>2029</v>
      </c>
      <c r="D113" s="156">
        <f>IF(F112+SUM(E$100:E112)=D$93,F112,D$93-SUM(E$100:E112))</f>
        <v>43983538.455555536</v>
      </c>
      <c r="E113" s="162">
        <f>IF(+J97&lt;F112,J97,D113)</f>
        <v>1895280.2222222222</v>
      </c>
      <c r="F113" s="161">
        <f t="shared" si="11"/>
        <v>42088258.233333312</v>
      </c>
      <c r="G113" s="161">
        <f t="shared" si="12"/>
        <v>43035898.344444424</v>
      </c>
      <c r="H113" s="314">
        <f t="shared" si="13"/>
        <v>6438255.0506409379</v>
      </c>
      <c r="I113" s="323">
        <f t="shared" si="14"/>
        <v>6438255.0506409379</v>
      </c>
      <c r="J113" s="160">
        <f t="shared" si="7"/>
        <v>0</v>
      </c>
      <c r="K113" s="160"/>
      <c r="L113" s="316"/>
      <c r="M113" s="160">
        <f t="shared" si="8"/>
        <v>0</v>
      </c>
      <c r="N113" s="316"/>
      <c r="O113" s="160">
        <f t="shared" si="9"/>
        <v>0</v>
      </c>
      <c r="P113" s="160">
        <f t="shared" si="10"/>
        <v>0</v>
      </c>
      <c r="Q113" s="1"/>
      <c r="R113" s="1"/>
      <c r="S113" s="1"/>
      <c r="T113" s="1"/>
      <c r="U113" s="1"/>
    </row>
    <row r="114" spans="3:21">
      <c r="C114" s="155">
        <f>IF(D94="","-",+C113+1)</f>
        <v>2030</v>
      </c>
      <c r="D114" s="156">
        <f>IF(F113+SUM(E$100:E113)=D$93,F113,D$93-SUM(E$100:E113))</f>
        <v>42088258.233333312</v>
      </c>
      <c r="E114" s="162">
        <f>IF(+J97&lt;F113,J97,D114)</f>
        <v>1895280.2222222222</v>
      </c>
      <c r="F114" s="161">
        <f t="shared" si="11"/>
        <v>40192978.011111088</v>
      </c>
      <c r="G114" s="161">
        <f t="shared" si="12"/>
        <v>41140618.1222222</v>
      </c>
      <c r="H114" s="314">
        <f t="shared" si="13"/>
        <v>6238184.6286541056</v>
      </c>
      <c r="I114" s="323">
        <f t="shared" si="14"/>
        <v>6238184.6286541056</v>
      </c>
      <c r="J114" s="160">
        <f t="shared" si="7"/>
        <v>0</v>
      </c>
      <c r="K114" s="160"/>
      <c r="L114" s="316"/>
      <c r="M114" s="160">
        <f t="shared" si="8"/>
        <v>0</v>
      </c>
      <c r="N114" s="316"/>
      <c r="O114" s="160">
        <f t="shared" si="9"/>
        <v>0</v>
      </c>
      <c r="P114" s="160">
        <f t="shared" si="10"/>
        <v>0</v>
      </c>
      <c r="Q114" s="1"/>
      <c r="R114" s="1"/>
      <c r="S114" s="1"/>
      <c r="T114" s="1"/>
      <c r="U114" s="1"/>
    </row>
    <row r="115" spans="3:21">
      <c r="C115" s="155">
        <f>IF(D94="","-",+C114+1)</f>
        <v>2031</v>
      </c>
      <c r="D115" s="156">
        <f>IF(F114+SUM(E$100:E114)=D$93,F114,D$93-SUM(E$100:E114))</f>
        <v>40192978.011111088</v>
      </c>
      <c r="E115" s="162">
        <f>IF(+J97&lt;F114,J97,D115)</f>
        <v>1895280.2222222222</v>
      </c>
      <c r="F115" s="161">
        <f t="shared" si="11"/>
        <v>38297697.788888864</v>
      </c>
      <c r="G115" s="161">
        <f t="shared" si="12"/>
        <v>39245337.899999976</v>
      </c>
      <c r="H115" s="314">
        <f t="shared" si="13"/>
        <v>6038114.2066672742</v>
      </c>
      <c r="I115" s="323">
        <f t="shared" si="14"/>
        <v>6038114.2066672742</v>
      </c>
      <c r="J115" s="160">
        <f t="shared" si="7"/>
        <v>0</v>
      </c>
      <c r="K115" s="160"/>
      <c r="L115" s="316"/>
      <c r="M115" s="160">
        <f t="shared" si="8"/>
        <v>0</v>
      </c>
      <c r="N115" s="316"/>
      <c r="O115" s="160">
        <f t="shared" si="9"/>
        <v>0</v>
      </c>
      <c r="P115" s="160">
        <f t="shared" si="10"/>
        <v>0</v>
      </c>
      <c r="Q115" s="1"/>
      <c r="R115" s="1"/>
      <c r="S115" s="1"/>
      <c r="T115" s="1"/>
      <c r="U115" s="1"/>
    </row>
    <row r="116" spans="3:21">
      <c r="C116" s="155">
        <f>IF(D94="","-",+C115+1)</f>
        <v>2032</v>
      </c>
      <c r="D116" s="156">
        <f>IF(F115+SUM(E$100:E115)=D$93,F115,D$93-SUM(E$100:E115))</f>
        <v>38297697.788888864</v>
      </c>
      <c r="E116" s="162">
        <f>IF(+J97&lt;F115,J97,D116)</f>
        <v>1895280.2222222222</v>
      </c>
      <c r="F116" s="161">
        <f t="shared" si="11"/>
        <v>36402417.56666664</v>
      </c>
      <c r="G116" s="161">
        <f t="shared" si="12"/>
        <v>37350057.677777752</v>
      </c>
      <c r="H116" s="314">
        <f t="shared" si="13"/>
        <v>5838043.7846804429</v>
      </c>
      <c r="I116" s="323">
        <f t="shared" si="14"/>
        <v>5838043.7846804429</v>
      </c>
      <c r="J116" s="160">
        <f t="shared" si="7"/>
        <v>0</v>
      </c>
      <c r="K116" s="160"/>
      <c r="L116" s="316"/>
      <c r="M116" s="160">
        <f t="shared" si="8"/>
        <v>0</v>
      </c>
      <c r="N116" s="316"/>
      <c r="O116" s="160">
        <f t="shared" si="9"/>
        <v>0</v>
      </c>
      <c r="P116" s="160">
        <f t="shared" si="10"/>
        <v>0</v>
      </c>
      <c r="Q116" s="1"/>
      <c r="R116" s="1"/>
      <c r="S116" s="1"/>
      <c r="T116" s="1"/>
      <c r="U116" s="1"/>
    </row>
    <row r="117" spans="3:21">
      <c r="C117" s="155">
        <f>IF(D94="","-",+C116+1)</f>
        <v>2033</v>
      </c>
      <c r="D117" s="156">
        <f>IF(F116+SUM(E$100:E116)=D$93,F116,D$93-SUM(E$100:E116))</f>
        <v>36402417.56666664</v>
      </c>
      <c r="E117" s="162">
        <f>IF(+J97&lt;F116,J97,D117)</f>
        <v>1895280.2222222222</v>
      </c>
      <c r="F117" s="161">
        <f t="shared" si="11"/>
        <v>34507137.344444416</v>
      </c>
      <c r="G117" s="161">
        <f t="shared" si="12"/>
        <v>35454777.455555528</v>
      </c>
      <c r="H117" s="314">
        <f t="shared" si="13"/>
        <v>5637973.3626936106</v>
      </c>
      <c r="I117" s="323">
        <f t="shared" si="14"/>
        <v>5637973.3626936106</v>
      </c>
      <c r="J117" s="160">
        <f t="shared" si="7"/>
        <v>0</v>
      </c>
      <c r="K117" s="160"/>
      <c r="L117" s="316"/>
      <c r="M117" s="160">
        <f t="shared" si="8"/>
        <v>0</v>
      </c>
      <c r="N117" s="316"/>
      <c r="O117" s="160">
        <f t="shared" si="9"/>
        <v>0</v>
      </c>
      <c r="P117" s="160">
        <f t="shared" si="10"/>
        <v>0</v>
      </c>
      <c r="Q117" s="1"/>
      <c r="R117" s="1"/>
      <c r="S117" s="1"/>
      <c r="T117" s="1"/>
      <c r="U117" s="1"/>
    </row>
    <row r="118" spans="3:21">
      <c r="C118" s="155">
        <f>IF(D94="","-",+C117+1)</f>
        <v>2034</v>
      </c>
      <c r="D118" s="156">
        <f>IF(F117+SUM(E$100:E117)=D$93,F117,D$93-SUM(E$100:E117))</f>
        <v>34507137.344444416</v>
      </c>
      <c r="E118" s="162">
        <f>IF(+J97&lt;F117,J97,D118)</f>
        <v>1895280.2222222222</v>
      </c>
      <c r="F118" s="161">
        <f t="shared" si="11"/>
        <v>32611857.122222193</v>
      </c>
      <c r="G118" s="161">
        <f t="shared" si="12"/>
        <v>33559497.233333305</v>
      </c>
      <c r="H118" s="314">
        <f t="shared" si="13"/>
        <v>5437902.9407067792</v>
      </c>
      <c r="I118" s="323">
        <f t="shared" si="14"/>
        <v>5437902.9407067792</v>
      </c>
      <c r="J118" s="160">
        <f t="shared" si="7"/>
        <v>0</v>
      </c>
      <c r="K118" s="160"/>
      <c r="L118" s="316"/>
      <c r="M118" s="160">
        <f t="shared" si="8"/>
        <v>0</v>
      </c>
      <c r="N118" s="316"/>
      <c r="O118" s="160">
        <f t="shared" si="9"/>
        <v>0</v>
      </c>
      <c r="P118" s="160">
        <f t="shared" si="10"/>
        <v>0</v>
      </c>
      <c r="Q118" s="1"/>
      <c r="R118" s="1"/>
      <c r="S118" s="1"/>
      <c r="T118" s="1"/>
      <c r="U118" s="1"/>
    </row>
    <row r="119" spans="3:21">
      <c r="C119" s="155">
        <f>IF(D94="","-",+C118+1)</f>
        <v>2035</v>
      </c>
      <c r="D119" s="156">
        <f>IF(F118+SUM(E$100:E118)=D$93,F118,D$93-SUM(E$100:E118))</f>
        <v>32611857.122222193</v>
      </c>
      <c r="E119" s="162">
        <f>IF(+J97&lt;F118,J97,D119)</f>
        <v>1895280.2222222222</v>
      </c>
      <c r="F119" s="161">
        <f t="shared" si="11"/>
        <v>30716576.899999969</v>
      </c>
      <c r="G119" s="161">
        <f t="shared" si="12"/>
        <v>31664217.011111081</v>
      </c>
      <c r="H119" s="314">
        <f t="shared" si="13"/>
        <v>5237832.518719947</v>
      </c>
      <c r="I119" s="323">
        <f t="shared" si="14"/>
        <v>5237832.518719947</v>
      </c>
      <c r="J119" s="160">
        <f t="shared" si="7"/>
        <v>0</v>
      </c>
      <c r="K119" s="160"/>
      <c r="L119" s="316"/>
      <c r="M119" s="160">
        <f t="shared" si="8"/>
        <v>0</v>
      </c>
      <c r="N119" s="316"/>
      <c r="O119" s="160">
        <f t="shared" si="9"/>
        <v>0</v>
      </c>
      <c r="P119" s="160">
        <f t="shared" si="10"/>
        <v>0</v>
      </c>
      <c r="Q119" s="1"/>
      <c r="R119" s="1"/>
      <c r="S119" s="1"/>
      <c r="T119" s="1"/>
      <c r="U119" s="1"/>
    </row>
    <row r="120" spans="3:21">
      <c r="C120" s="155">
        <f>IF(D94="","-",+C119+1)</f>
        <v>2036</v>
      </c>
      <c r="D120" s="156">
        <f>IF(F119+SUM(E$100:E119)=D$93,F119,D$93-SUM(E$100:E119))</f>
        <v>30716576.899999969</v>
      </c>
      <c r="E120" s="162">
        <f>IF(+J97&lt;F119,J97,D120)</f>
        <v>1895280.2222222222</v>
      </c>
      <c r="F120" s="161">
        <f t="shared" si="11"/>
        <v>28821296.677777745</v>
      </c>
      <c r="G120" s="161">
        <f t="shared" si="12"/>
        <v>29768936.788888857</v>
      </c>
      <c r="H120" s="314">
        <f t="shared" si="13"/>
        <v>5037762.0967331156</v>
      </c>
      <c r="I120" s="323">
        <f t="shared" si="14"/>
        <v>5037762.0967331156</v>
      </c>
      <c r="J120" s="160">
        <f t="shared" si="7"/>
        <v>0</v>
      </c>
      <c r="K120" s="160"/>
      <c r="L120" s="316"/>
      <c r="M120" s="160">
        <f t="shared" si="8"/>
        <v>0</v>
      </c>
      <c r="N120" s="316"/>
      <c r="O120" s="160">
        <f t="shared" si="9"/>
        <v>0</v>
      </c>
      <c r="P120" s="160">
        <f t="shared" si="10"/>
        <v>0</v>
      </c>
      <c r="Q120" s="1"/>
      <c r="R120" s="1"/>
      <c r="S120" s="1"/>
      <c r="T120" s="1"/>
      <c r="U120" s="1"/>
    </row>
    <row r="121" spans="3:21">
      <c r="C121" s="155">
        <f>IF(D94="","-",+C120+1)</f>
        <v>2037</v>
      </c>
      <c r="D121" s="156">
        <f>IF(F120+SUM(E$100:E120)=D$93,F120,D$93-SUM(E$100:E120))</f>
        <v>28821296.677777745</v>
      </c>
      <c r="E121" s="162">
        <f>IF(+J97&lt;F120,J97,D121)</f>
        <v>1895280.2222222222</v>
      </c>
      <c r="F121" s="161">
        <f t="shared" si="11"/>
        <v>26926016.455555521</v>
      </c>
      <c r="G121" s="161">
        <f t="shared" si="12"/>
        <v>27873656.566666633</v>
      </c>
      <c r="H121" s="314">
        <f t="shared" si="13"/>
        <v>4837691.6747462833</v>
      </c>
      <c r="I121" s="323">
        <f t="shared" si="14"/>
        <v>4837691.6747462833</v>
      </c>
      <c r="J121" s="160">
        <f t="shared" si="7"/>
        <v>0</v>
      </c>
      <c r="K121" s="160"/>
      <c r="L121" s="316"/>
      <c r="M121" s="160">
        <f t="shared" si="8"/>
        <v>0</v>
      </c>
      <c r="N121" s="316"/>
      <c r="O121" s="160">
        <f t="shared" si="9"/>
        <v>0</v>
      </c>
      <c r="P121" s="160">
        <f t="shared" si="10"/>
        <v>0</v>
      </c>
      <c r="Q121" s="1"/>
      <c r="R121" s="1"/>
      <c r="S121" s="1"/>
      <c r="T121" s="1"/>
      <c r="U121" s="1"/>
    </row>
    <row r="122" spans="3:21">
      <c r="C122" s="155">
        <f>IF(D94="","-",+C121+1)</f>
        <v>2038</v>
      </c>
      <c r="D122" s="156">
        <f>IF(F121+SUM(E$100:E121)=D$93,F121,D$93-SUM(E$100:E121))</f>
        <v>26926016.455555521</v>
      </c>
      <c r="E122" s="162">
        <f>IF(+J97&lt;F121,J97,D122)</f>
        <v>1895280.2222222222</v>
      </c>
      <c r="F122" s="161">
        <f t="shared" si="11"/>
        <v>25030736.233333297</v>
      </c>
      <c r="G122" s="161">
        <f t="shared" si="12"/>
        <v>25978376.344444409</v>
      </c>
      <c r="H122" s="314">
        <f t="shared" si="13"/>
        <v>4637621.252759452</v>
      </c>
      <c r="I122" s="323">
        <f t="shared" si="14"/>
        <v>4637621.252759452</v>
      </c>
      <c r="J122" s="160">
        <f t="shared" si="7"/>
        <v>0</v>
      </c>
      <c r="K122" s="160"/>
      <c r="L122" s="316"/>
      <c r="M122" s="160">
        <f t="shared" si="8"/>
        <v>0</v>
      </c>
      <c r="N122" s="316"/>
      <c r="O122" s="160">
        <f t="shared" si="9"/>
        <v>0</v>
      </c>
      <c r="P122" s="160">
        <f t="shared" si="10"/>
        <v>0</v>
      </c>
      <c r="Q122" s="1"/>
      <c r="R122" s="1"/>
      <c r="S122" s="1"/>
      <c r="T122" s="1"/>
      <c r="U122" s="1"/>
    </row>
    <row r="123" spans="3:21">
      <c r="C123" s="155">
        <f>IF(D94="","-",+C122+1)</f>
        <v>2039</v>
      </c>
      <c r="D123" s="156">
        <f>IF(F122+SUM(E$100:E122)=D$93,F122,D$93-SUM(E$100:E122))</f>
        <v>25030736.233333297</v>
      </c>
      <c r="E123" s="162">
        <f>IF(+J97&lt;F122,J97,D123)</f>
        <v>1895280.2222222222</v>
      </c>
      <c r="F123" s="161">
        <f t="shared" si="11"/>
        <v>23135456.011111073</v>
      </c>
      <c r="G123" s="161">
        <f t="shared" si="12"/>
        <v>24083096.122222185</v>
      </c>
      <c r="H123" s="314">
        <f t="shared" si="13"/>
        <v>4437550.8307726197</v>
      </c>
      <c r="I123" s="323">
        <f t="shared" si="14"/>
        <v>4437550.8307726197</v>
      </c>
      <c r="J123" s="160">
        <f t="shared" si="7"/>
        <v>0</v>
      </c>
      <c r="K123" s="160"/>
      <c r="L123" s="316"/>
      <c r="M123" s="160">
        <f t="shared" si="8"/>
        <v>0</v>
      </c>
      <c r="N123" s="316"/>
      <c r="O123" s="160">
        <f t="shared" si="9"/>
        <v>0</v>
      </c>
      <c r="P123" s="160">
        <f t="shared" si="10"/>
        <v>0</v>
      </c>
      <c r="Q123" s="1"/>
      <c r="R123" s="1"/>
      <c r="S123" s="1"/>
      <c r="T123" s="1"/>
      <c r="U123" s="1"/>
    </row>
    <row r="124" spans="3:21">
      <c r="C124" s="155">
        <f>IF(D94="","-",+C123+1)</f>
        <v>2040</v>
      </c>
      <c r="D124" s="156">
        <f>IF(F123+SUM(E$100:E123)=D$93,F123,D$93-SUM(E$100:E123))</f>
        <v>23135456.011111073</v>
      </c>
      <c r="E124" s="162">
        <f>IF(+J97&lt;F123,J97,D124)</f>
        <v>1895280.2222222222</v>
      </c>
      <c r="F124" s="161">
        <f t="shared" si="11"/>
        <v>21240175.788888849</v>
      </c>
      <c r="G124" s="161">
        <f t="shared" si="12"/>
        <v>22187815.899999961</v>
      </c>
      <c r="H124" s="314">
        <f t="shared" si="13"/>
        <v>4237480.4087857883</v>
      </c>
      <c r="I124" s="323">
        <f t="shared" si="14"/>
        <v>4237480.4087857883</v>
      </c>
      <c r="J124" s="160">
        <f t="shared" si="7"/>
        <v>0</v>
      </c>
      <c r="K124" s="160"/>
      <c r="L124" s="316"/>
      <c r="M124" s="160">
        <f t="shared" si="8"/>
        <v>0</v>
      </c>
      <c r="N124" s="316"/>
      <c r="O124" s="160">
        <f t="shared" si="9"/>
        <v>0</v>
      </c>
      <c r="P124" s="160">
        <f t="shared" si="10"/>
        <v>0</v>
      </c>
      <c r="Q124" s="1"/>
      <c r="R124" s="1"/>
      <c r="S124" s="1"/>
      <c r="T124" s="1"/>
      <c r="U124" s="1"/>
    </row>
    <row r="125" spans="3:21">
      <c r="C125" s="155">
        <f>IF(D94="","-",+C124+1)</f>
        <v>2041</v>
      </c>
      <c r="D125" s="156">
        <f>IF(F124+SUM(E$100:E124)=D$93,F124,D$93-SUM(E$100:E124))</f>
        <v>21240175.788888849</v>
      </c>
      <c r="E125" s="162">
        <f>IF(+J97&lt;F124,J97,D125)</f>
        <v>1895280.2222222222</v>
      </c>
      <c r="F125" s="161">
        <f t="shared" si="11"/>
        <v>19344895.566666625</v>
      </c>
      <c r="G125" s="161">
        <f t="shared" si="12"/>
        <v>20292535.677777737</v>
      </c>
      <c r="H125" s="314">
        <f t="shared" si="13"/>
        <v>4037409.9867989561</v>
      </c>
      <c r="I125" s="323">
        <f t="shared" si="14"/>
        <v>4037409.9867989561</v>
      </c>
      <c r="J125" s="160">
        <f t="shared" si="7"/>
        <v>0</v>
      </c>
      <c r="K125" s="160"/>
      <c r="L125" s="316"/>
      <c r="M125" s="160">
        <f t="shared" si="8"/>
        <v>0</v>
      </c>
      <c r="N125" s="316"/>
      <c r="O125" s="160">
        <f t="shared" si="9"/>
        <v>0</v>
      </c>
      <c r="P125" s="160">
        <f t="shared" si="10"/>
        <v>0</v>
      </c>
      <c r="Q125" s="1"/>
      <c r="R125" s="1"/>
      <c r="S125" s="1"/>
      <c r="T125" s="1"/>
      <c r="U125" s="1"/>
    </row>
    <row r="126" spans="3:21">
      <c r="C126" s="155">
        <f>IF(D94="","-",+C125+1)</f>
        <v>2042</v>
      </c>
      <c r="D126" s="156">
        <f>IF(F125+SUM(E$100:E125)=D$93,F125,D$93-SUM(E$100:E125))</f>
        <v>19344895.566666625</v>
      </c>
      <c r="E126" s="162">
        <f>IF(+J97&lt;F125,J97,D126)</f>
        <v>1895280.2222222222</v>
      </c>
      <c r="F126" s="161">
        <f t="shared" si="11"/>
        <v>17449615.344444402</v>
      </c>
      <c r="G126" s="161">
        <f t="shared" si="12"/>
        <v>18397255.455555514</v>
      </c>
      <c r="H126" s="314">
        <f t="shared" si="13"/>
        <v>3837339.5648121242</v>
      </c>
      <c r="I126" s="323">
        <f t="shared" si="14"/>
        <v>3837339.5648121242</v>
      </c>
      <c r="J126" s="160">
        <f t="shared" si="7"/>
        <v>0</v>
      </c>
      <c r="K126" s="160"/>
      <c r="L126" s="316"/>
      <c r="M126" s="160">
        <f t="shared" si="8"/>
        <v>0</v>
      </c>
      <c r="N126" s="316"/>
      <c r="O126" s="160">
        <f t="shared" si="9"/>
        <v>0</v>
      </c>
      <c r="P126" s="160">
        <f t="shared" si="10"/>
        <v>0</v>
      </c>
      <c r="Q126" s="1"/>
      <c r="R126" s="1"/>
      <c r="S126" s="1"/>
      <c r="T126" s="1"/>
      <c r="U126" s="1"/>
    </row>
    <row r="127" spans="3:21">
      <c r="C127" s="155">
        <f>IF(D94="","-",+C126+1)</f>
        <v>2043</v>
      </c>
      <c r="D127" s="156">
        <f>IF(F126+SUM(E$100:E126)=D$93,F126,D$93-SUM(E$100:E126))</f>
        <v>17449615.344444402</v>
      </c>
      <c r="E127" s="162">
        <f>IF(+J97&lt;F126,J97,D127)</f>
        <v>1895280.2222222222</v>
      </c>
      <c r="F127" s="161">
        <f t="shared" si="11"/>
        <v>15554335.12222218</v>
      </c>
      <c r="G127" s="161">
        <f t="shared" si="12"/>
        <v>16501975.23333329</v>
      </c>
      <c r="H127" s="314">
        <f t="shared" si="13"/>
        <v>3637269.1428252924</v>
      </c>
      <c r="I127" s="323">
        <f t="shared" si="14"/>
        <v>3637269.1428252924</v>
      </c>
      <c r="J127" s="160">
        <f t="shared" si="7"/>
        <v>0</v>
      </c>
      <c r="K127" s="160"/>
      <c r="L127" s="316"/>
      <c r="M127" s="160">
        <f t="shared" si="8"/>
        <v>0</v>
      </c>
      <c r="N127" s="316"/>
      <c r="O127" s="160">
        <f t="shared" si="9"/>
        <v>0</v>
      </c>
      <c r="P127" s="160">
        <f t="shared" si="10"/>
        <v>0</v>
      </c>
      <c r="Q127" s="1"/>
      <c r="R127" s="1"/>
      <c r="S127" s="1"/>
      <c r="T127" s="1"/>
      <c r="U127" s="1"/>
    </row>
    <row r="128" spans="3:21">
      <c r="C128" s="155">
        <f>IF(D94="","-",+C127+1)</f>
        <v>2044</v>
      </c>
      <c r="D128" s="156">
        <f>IF(F127+SUM(E$100:E127)=D$93,F127,D$93-SUM(E$100:E127))</f>
        <v>15554335.12222218</v>
      </c>
      <c r="E128" s="162">
        <f>IF(+J97&lt;F127,J97,D128)</f>
        <v>1895280.2222222222</v>
      </c>
      <c r="F128" s="161">
        <f t="shared" si="11"/>
        <v>13659054.899999958</v>
      </c>
      <c r="G128" s="161">
        <f t="shared" si="12"/>
        <v>14606695.011111069</v>
      </c>
      <c r="H128" s="314">
        <f t="shared" si="13"/>
        <v>3437198.7208384611</v>
      </c>
      <c r="I128" s="323">
        <f t="shared" si="14"/>
        <v>3437198.7208384611</v>
      </c>
      <c r="J128" s="160">
        <f t="shared" si="7"/>
        <v>0</v>
      </c>
      <c r="K128" s="160"/>
      <c r="L128" s="316"/>
      <c r="M128" s="160">
        <f t="shared" si="8"/>
        <v>0</v>
      </c>
      <c r="N128" s="316"/>
      <c r="O128" s="160">
        <f t="shared" si="9"/>
        <v>0</v>
      </c>
      <c r="P128" s="160">
        <f t="shared" si="10"/>
        <v>0</v>
      </c>
      <c r="Q128" s="1"/>
      <c r="R128" s="1"/>
      <c r="S128" s="1"/>
      <c r="T128" s="1"/>
      <c r="U128" s="1"/>
    </row>
    <row r="129" spans="3:21">
      <c r="C129" s="155">
        <f>IF(D94="","-",+C128+1)</f>
        <v>2045</v>
      </c>
      <c r="D129" s="156">
        <f>IF(F128+SUM(E$100:E128)=D$93,F128,D$93-SUM(E$100:E128))</f>
        <v>13659054.899999958</v>
      </c>
      <c r="E129" s="162">
        <f>IF(+J97&lt;F128,J97,D129)</f>
        <v>1895280.2222222222</v>
      </c>
      <c r="F129" s="161">
        <f t="shared" si="11"/>
        <v>11763774.677777736</v>
      </c>
      <c r="G129" s="161">
        <f t="shared" si="12"/>
        <v>12711414.788888846</v>
      </c>
      <c r="H129" s="314">
        <f t="shared" si="13"/>
        <v>3237128.2988516293</v>
      </c>
      <c r="I129" s="323">
        <f t="shared" si="14"/>
        <v>3237128.2988516293</v>
      </c>
      <c r="J129" s="160">
        <f t="shared" si="7"/>
        <v>0</v>
      </c>
      <c r="K129" s="160"/>
      <c r="L129" s="316"/>
      <c r="M129" s="160">
        <f t="shared" si="8"/>
        <v>0</v>
      </c>
      <c r="N129" s="316"/>
      <c r="O129" s="160">
        <f t="shared" si="9"/>
        <v>0</v>
      </c>
      <c r="P129" s="160">
        <f t="shared" si="10"/>
        <v>0</v>
      </c>
      <c r="Q129" s="1"/>
      <c r="R129" s="1"/>
      <c r="S129" s="1"/>
      <c r="T129" s="1"/>
      <c r="U129" s="1"/>
    </row>
    <row r="130" spans="3:21">
      <c r="C130" s="155">
        <f>IF(D94="","-",+C129+1)</f>
        <v>2046</v>
      </c>
      <c r="D130" s="156">
        <f>IF(F129+SUM(E$100:E129)=D$93,F129,D$93-SUM(E$100:E129))</f>
        <v>11763774.677777736</v>
      </c>
      <c r="E130" s="162">
        <f>IF(+J97&lt;F129,J97,D130)</f>
        <v>1895280.2222222222</v>
      </c>
      <c r="F130" s="161">
        <f t="shared" si="11"/>
        <v>9868494.4555555135</v>
      </c>
      <c r="G130" s="161">
        <f t="shared" si="12"/>
        <v>10816134.566666625</v>
      </c>
      <c r="H130" s="314">
        <f t="shared" si="13"/>
        <v>3037057.8768647974</v>
      </c>
      <c r="I130" s="323">
        <f t="shared" si="14"/>
        <v>3037057.8768647974</v>
      </c>
      <c r="J130" s="160">
        <f t="shared" si="7"/>
        <v>0</v>
      </c>
      <c r="K130" s="160"/>
      <c r="L130" s="316"/>
      <c r="M130" s="160">
        <f t="shared" si="8"/>
        <v>0</v>
      </c>
      <c r="N130" s="316"/>
      <c r="O130" s="160">
        <f t="shared" si="9"/>
        <v>0</v>
      </c>
      <c r="P130" s="160">
        <f t="shared" si="10"/>
        <v>0</v>
      </c>
      <c r="Q130" s="1"/>
      <c r="R130" s="1"/>
      <c r="S130" s="1"/>
      <c r="T130" s="1"/>
      <c r="U130" s="1"/>
    </row>
    <row r="131" spans="3:21">
      <c r="C131" s="155">
        <f>IF(D94="","-",+C130+1)</f>
        <v>2047</v>
      </c>
      <c r="D131" s="156">
        <f>IF(F130+SUM(E$100:E130)=D$93,F130,D$93-SUM(E$100:E130))</f>
        <v>9868494.4555555135</v>
      </c>
      <c r="E131" s="162">
        <f>IF(+J97&lt;F130,J97,D131)</f>
        <v>1895280.2222222222</v>
      </c>
      <c r="F131" s="161">
        <f t="shared" si="11"/>
        <v>7973214.2333332915</v>
      </c>
      <c r="G131" s="161">
        <f t="shared" si="12"/>
        <v>8920854.3444444016</v>
      </c>
      <c r="H131" s="314">
        <f t="shared" si="13"/>
        <v>2836987.4548779661</v>
      </c>
      <c r="I131" s="323">
        <f t="shared" si="14"/>
        <v>2836987.4548779661</v>
      </c>
      <c r="J131" s="160">
        <f t="shared" si="7"/>
        <v>0</v>
      </c>
      <c r="K131" s="160"/>
      <c r="L131" s="316"/>
      <c r="M131" s="160">
        <f t="shared" si="8"/>
        <v>0</v>
      </c>
      <c r="N131" s="316"/>
      <c r="O131" s="160">
        <f t="shared" si="9"/>
        <v>0</v>
      </c>
      <c r="P131" s="160">
        <f t="shared" si="10"/>
        <v>0</v>
      </c>
      <c r="Q131" s="1"/>
      <c r="R131" s="1"/>
      <c r="S131" s="1"/>
      <c r="T131" s="1"/>
      <c r="U131" s="1"/>
    </row>
    <row r="132" spans="3:21">
      <c r="C132" s="155">
        <f>IF(D94="","-",+C131+1)</f>
        <v>2048</v>
      </c>
      <c r="D132" s="156">
        <f>IF(F131+SUM(E$100:E131)=D$93,F131,D$93-SUM(E$100:E131))</f>
        <v>7973214.2333332915</v>
      </c>
      <c r="E132" s="162">
        <f>IF(+J97&lt;F131,J97,D132)</f>
        <v>1895280.2222222222</v>
      </c>
      <c r="F132" s="161">
        <f t="shared" ref="F132:F155" si="15">+D132-E132</f>
        <v>6077934.0111110695</v>
      </c>
      <c r="G132" s="161">
        <f t="shared" ref="G132:G155" si="16">+(F132+D132)/2</f>
        <v>7025574.1222221805</v>
      </c>
      <c r="H132" s="314">
        <f t="shared" si="13"/>
        <v>2636917.0328911343</v>
      </c>
      <c r="I132" s="323">
        <f t="shared" si="14"/>
        <v>2636917.0328911343</v>
      </c>
      <c r="J132" s="160">
        <f t="shared" ref="J132:J155" si="17">+I542-H542</f>
        <v>0</v>
      </c>
      <c r="K132" s="160"/>
      <c r="L132" s="316"/>
      <c r="M132" s="160">
        <f t="shared" ref="M132:M155" si="18">IF(L542&lt;&gt;0,+H542-L542,0)</f>
        <v>0</v>
      </c>
      <c r="N132" s="316"/>
      <c r="O132" s="160">
        <f t="shared" ref="O132:O155" si="19">IF(N542&lt;&gt;0,+I542-N542,0)</f>
        <v>0</v>
      </c>
      <c r="P132" s="160">
        <f t="shared" ref="P132:P155" si="20">+O542-M542</f>
        <v>0</v>
      </c>
      <c r="Q132" s="1"/>
      <c r="R132" s="1"/>
      <c r="S132" s="1"/>
      <c r="T132" s="1"/>
      <c r="U132" s="1"/>
    </row>
    <row r="133" spans="3:21">
      <c r="C133" s="155">
        <f>IF(D94="","-",+C132+1)</f>
        <v>2049</v>
      </c>
      <c r="D133" s="156">
        <f>IF(F132+SUM(E$100:E132)=D$93,F132,D$93-SUM(E$100:E132))</f>
        <v>6077934.0111110695</v>
      </c>
      <c r="E133" s="162">
        <f>IF(+J97&lt;F132,J97,D133)</f>
        <v>1895280.2222222222</v>
      </c>
      <c r="F133" s="161">
        <f t="shared" si="15"/>
        <v>4182653.7888888475</v>
      </c>
      <c r="G133" s="161">
        <f t="shared" si="16"/>
        <v>5130293.8999999585</v>
      </c>
      <c r="H133" s="314">
        <f t="shared" si="13"/>
        <v>2436846.6109043029</v>
      </c>
      <c r="I133" s="323">
        <f t="shared" si="14"/>
        <v>2436846.6109043029</v>
      </c>
      <c r="J133" s="160">
        <f t="shared" si="17"/>
        <v>0</v>
      </c>
      <c r="K133" s="160"/>
      <c r="L133" s="316"/>
      <c r="M133" s="160">
        <f t="shared" si="18"/>
        <v>0</v>
      </c>
      <c r="N133" s="316"/>
      <c r="O133" s="160">
        <f t="shared" si="19"/>
        <v>0</v>
      </c>
      <c r="P133" s="160">
        <f t="shared" si="20"/>
        <v>0</v>
      </c>
      <c r="Q133" s="1"/>
      <c r="R133" s="1"/>
      <c r="S133" s="1"/>
      <c r="T133" s="1"/>
      <c r="U133" s="1"/>
    </row>
    <row r="134" spans="3:21">
      <c r="C134" s="155">
        <f>IF(D94="","-",+C133+1)</f>
        <v>2050</v>
      </c>
      <c r="D134" s="156">
        <f>IF(F133+SUM(E$100:E133)=D$93,F133,D$93-SUM(E$100:E133))</f>
        <v>4182653.7888888475</v>
      </c>
      <c r="E134" s="162">
        <f>IF(+J97&lt;F133,J97,D134)</f>
        <v>1895280.2222222222</v>
      </c>
      <c r="F134" s="161">
        <f t="shared" si="15"/>
        <v>2287373.5666666254</v>
      </c>
      <c r="G134" s="161">
        <f t="shared" si="16"/>
        <v>3235013.6777777364</v>
      </c>
      <c r="H134" s="314">
        <f t="shared" si="13"/>
        <v>2236776.1889174711</v>
      </c>
      <c r="I134" s="323">
        <f t="shared" si="14"/>
        <v>2236776.1889174711</v>
      </c>
      <c r="J134" s="160">
        <f t="shared" si="17"/>
        <v>0</v>
      </c>
      <c r="K134" s="160"/>
      <c r="L134" s="316"/>
      <c r="M134" s="160">
        <f t="shared" si="18"/>
        <v>0</v>
      </c>
      <c r="N134" s="316"/>
      <c r="O134" s="160">
        <f t="shared" si="19"/>
        <v>0</v>
      </c>
      <c r="P134" s="160">
        <f t="shared" si="20"/>
        <v>0</v>
      </c>
      <c r="Q134" s="1"/>
      <c r="R134" s="1"/>
      <c r="S134" s="1"/>
      <c r="T134" s="1"/>
      <c r="U134" s="1"/>
    </row>
    <row r="135" spans="3:21">
      <c r="C135" s="155">
        <f>IF(D94="","-",+C134+1)</f>
        <v>2051</v>
      </c>
      <c r="D135" s="156">
        <f>IF(F134+SUM(E$100:E134)=D$93,F134,D$93-SUM(E$100:E134))</f>
        <v>2287373.5666666254</v>
      </c>
      <c r="E135" s="162">
        <f>IF(+J97&lt;F134,J97,D135)</f>
        <v>1895280.2222222222</v>
      </c>
      <c r="F135" s="161">
        <f t="shared" si="15"/>
        <v>392093.34444440319</v>
      </c>
      <c r="G135" s="161">
        <f t="shared" si="16"/>
        <v>1339733.4555555144</v>
      </c>
      <c r="H135" s="314">
        <f t="shared" si="13"/>
        <v>2036705.7669306395</v>
      </c>
      <c r="I135" s="323">
        <f t="shared" si="14"/>
        <v>2036705.7669306395</v>
      </c>
      <c r="J135" s="160">
        <f t="shared" si="17"/>
        <v>0</v>
      </c>
      <c r="K135" s="160"/>
      <c r="L135" s="316"/>
      <c r="M135" s="160">
        <f t="shared" si="18"/>
        <v>0</v>
      </c>
      <c r="N135" s="316"/>
      <c r="O135" s="160">
        <f t="shared" si="19"/>
        <v>0</v>
      </c>
      <c r="P135" s="160">
        <f t="shared" si="20"/>
        <v>0</v>
      </c>
      <c r="Q135" s="1"/>
      <c r="R135" s="1"/>
      <c r="S135" s="1"/>
      <c r="T135" s="1"/>
      <c r="U135" s="1"/>
    </row>
    <row r="136" spans="3:21">
      <c r="C136" s="155">
        <f>IF(D94="","-",+C135+1)</f>
        <v>2052</v>
      </c>
      <c r="D136" s="156">
        <f>IF(F135+SUM(E$100:E135)=D$93,F135,D$93-SUM(E$100:E135))</f>
        <v>392093.34444440319</v>
      </c>
      <c r="E136" s="162">
        <f>IF(+J97&lt;F135,J97,D136)</f>
        <v>392093.34444440319</v>
      </c>
      <c r="F136" s="161">
        <f t="shared" si="15"/>
        <v>0</v>
      </c>
      <c r="G136" s="161">
        <f t="shared" si="16"/>
        <v>196046.6722222016</v>
      </c>
      <c r="H136" s="314">
        <f t="shared" si="13"/>
        <v>412788.51130190393</v>
      </c>
      <c r="I136" s="323">
        <f t="shared" si="14"/>
        <v>412788.51130190393</v>
      </c>
      <c r="J136" s="160">
        <f t="shared" si="17"/>
        <v>0</v>
      </c>
      <c r="K136" s="160"/>
      <c r="L136" s="316"/>
      <c r="M136" s="160">
        <f t="shared" si="18"/>
        <v>0</v>
      </c>
      <c r="N136" s="316"/>
      <c r="O136" s="160">
        <f t="shared" si="19"/>
        <v>0</v>
      </c>
      <c r="P136" s="160">
        <f t="shared" si="20"/>
        <v>0</v>
      </c>
      <c r="Q136" s="1"/>
      <c r="R136" s="1"/>
      <c r="S136" s="1"/>
      <c r="T136" s="1"/>
      <c r="U136" s="1"/>
    </row>
    <row r="137" spans="3:21">
      <c r="C137" s="155">
        <f>IF(D94="","-",+C136+1)</f>
        <v>2053</v>
      </c>
      <c r="D137" s="156">
        <f>IF(F136+SUM(E$100:E136)=D$93,F136,D$93-SUM(E$100:E136))</f>
        <v>0</v>
      </c>
      <c r="E137" s="162">
        <f>IF(+J97&lt;F136,J97,D137)</f>
        <v>0</v>
      </c>
      <c r="F137" s="161">
        <f t="shared" si="15"/>
        <v>0</v>
      </c>
      <c r="G137" s="161">
        <f t="shared" si="16"/>
        <v>0</v>
      </c>
      <c r="H137" s="314">
        <f t="shared" si="13"/>
        <v>0</v>
      </c>
      <c r="I137" s="323">
        <f t="shared" si="14"/>
        <v>0</v>
      </c>
      <c r="J137" s="160">
        <f t="shared" si="17"/>
        <v>0</v>
      </c>
      <c r="K137" s="160"/>
      <c r="L137" s="316"/>
      <c r="M137" s="160">
        <f t="shared" si="18"/>
        <v>0</v>
      </c>
      <c r="N137" s="316"/>
      <c r="O137" s="160">
        <f t="shared" si="19"/>
        <v>0</v>
      </c>
      <c r="P137" s="160">
        <f t="shared" si="20"/>
        <v>0</v>
      </c>
      <c r="Q137" s="1"/>
      <c r="R137" s="1"/>
      <c r="S137" s="1"/>
      <c r="T137" s="1"/>
      <c r="U137" s="1"/>
    </row>
    <row r="138" spans="3:21">
      <c r="C138" s="155">
        <f>IF(D94="","-",+C137+1)</f>
        <v>2054</v>
      </c>
      <c r="D138" s="156">
        <f>IF(F137+SUM(E$100:E137)=D$93,F137,D$93-SUM(E$100:E137))</f>
        <v>0</v>
      </c>
      <c r="E138" s="162">
        <f>IF(+J97&lt;F137,J97,D138)</f>
        <v>0</v>
      </c>
      <c r="F138" s="161">
        <f t="shared" si="15"/>
        <v>0</v>
      </c>
      <c r="G138" s="161">
        <f t="shared" si="16"/>
        <v>0</v>
      </c>
      <c r="H138" s="314">
        <f t="shared" si="13"/>
        <v>0</v>
      </c>
      <c r="I138" s="323">
        <f t="shared" si="14"/>
        <v>0</v>
      </c>
      <c r="J138" s="160">
        <f t="shared" si="17"/>
        <v>0</v>
      </c>
      <c r="K138" s="160"/>
      <c r="L138" s="316"/>
      <c r="M138" s="160">
        <f t="shared" si="18"/>
        <v>0</v>
      </c>
      <c r="N138" s="316"/>
      <c r="O138" s="160">
        <f t="shared" si="19"/>
        <v>0</v>
      </c>
      <c r="P138" s="160">
        <f t="shared" si="20"/>
        <v>0</v>
      </c>
      <c r="Q138" s="1"/>
      <c r="R138" s="1"/>
      <c r="S138" s="1"/>
      <c r="T138" s="1"/>
      <c r="U138" s="1"/>
    </row>
    <row r="139" spans="3:21">
      <c r="C139" s="155">
        <f>IF(D94="","-",+C138+1)</f>
        <v>2055</v>
      </c>
      <c r="D139" s="156">
        <f>IF(F138+SUM(E$100:E138)=D$93,F138,D$93-SUM(E$100:E138))</f>
        <v>0</v>
      </c>
      <c r="E139" s="162">
        <f>IF(+J97&lt;F138,J97,D139)</f>
        <v>0</v>
      </c>
      <c r="F139" s="161">
        <f t="shared" si="15"/>
        <v>0</v>
      </c>
      <c r="G139" s="161">
        <f t="shared" si="16"/>
        <v>0</v>
      </c>
      <c r="H139" s="314">
        <f t="shared" si="13"/>
        <v>0</v>
      </c>
      <c r="I139" s="323">
        <f t="shared" si="14"/>
        <v>0</v>
      </c>
      <c r="J139" s="160">
        <f t="shared" si="17"/>
        <v>0</v>
      </c>
      <c r="K139" s="160"/>
      <c r="L139" s="316"/>
      <c r="M139" s="160">
        <f t="shared" si="18"/>
        <v>0</v>
      </c>
      <c r="N139" s="316"/>
      <c r="O139" s="160">
        <f t="shared" si="19"/>
        <v>0</v>
      </c>
      <c r="P139" s="160">
        <f t="shared" si="20"/>
        <v>0</v>
      </c>
      <c r="Q139" s="1"/>
      <c r="R139" s="1"/>
      <c r="S139" s="1"/>
      <c r="T139" s="1"/>
      <c r="U139" s="1"/>
    </row>
    <row r="140" spans="3:21">
      <c r="C140" s="155">
        <f>IF(D94="","-",+C139+1)</f>
        <v>2056</v>
      </c>
      <c r="D140" s="156">
        <f>IF(F139+SUM(E$100:E139)=D$93,F139,D$93-SUM(E$100:E139))</f>
        <v>0</v>
      </c>
      <c r="E140" s="162">
        <f>IF(+J97&lt;F139,J97,D140)</f>
        <v>0</v>
      </c>
      <c r="F140" s="161">
        <f t="shared" si="15"/>
        <v>0</v>
      </c>
      <c r="G140" s="161">
        <f t="shared" si="16"/>
        <v>0</v>
      </c>
      <c r="H140" s="314">
        <f t="shared" si="13"/>
        <v>0</v>
      </c>
      <c r="I140" s="323">
        <f t="shared" si="14"/>
        <v>0</v>
      </c>
      <c r="J140" s="160">
        <f t="shared" si="17"/>
        <v>0</v>
      </c>
      <c r="K140" s="160"/>
      <c r="L140" s="316"/>
      <c r="M140" s="160">
        <f t="shared" si="18"/>
        <v>0</v>
      </c>
      <c r="N140" s="316"/>
      <c r="O140" s="160">
        <f t="shared" si="19"/>
        <v>0</v>
      </c>
      <c r="P140" s="160">
        <f t="shared" si="20"/>
        <v>0</v>
      </c>
      <c r="Q140" s="1"/>
      <c r="R140" s="1"/>
      <c r="S140" s="1"/>
      <c r="T140" s="1"/>
      <c r="U140" s="1"/>
    </row>
    <row r="141" spans="3:21">
      <c r="C141" s="155">
        <f>IF(D94="","-",+C140+1)</f>
        <v>2057</v>
      </c>
      <c r="D141" s="156">
        <f>IF(F140+SUM(E$100:E140)=D$93,F140,D$93-SUM(E$100:E140))</f>
        <v>0</v>
      </c>
      <c r="E141" s="162">
        <f>IF(+J97&lt;F140,J97,D141)</f>
        <v>0</v>
      </c>
      <c r="F141" s="161">
        <f t="shared" si="15"/>
        <v>0</v>
      </c>
      <c r="G141" s="161">
        <f t="shared" si="16"/>
        <v>0</v>
      </c>
      <c r="H141" s="314">
        <f t="shared" si="13"/>
        <v>0</v>
      </c>
      <c r="I141" s="323">
        <f t="shared" si="14"/>
        <v>0</v>
      </c>
      <c r="J141" s="160">
        <f t="shared" si="17"/>
        <v>0</v>
      </c>
      <c r="K141" s="160"/>
      <c r="L141" s="316"/>
      <c r="M141" s="160">
        <f t="shared" si="18"/>
        <v>0</v>
      </c>
      <c r="N141" s="316"/>
      <c r="O141" s="160">
        <f t="shared" si="19"/>
        <v>0</v>
      </c>
      <c r="P141" s="160">
        <f t="shared" si="20"/>
        <v>0</v>
      </c>
      <c r="Q141" s="1"/>
      <c r="R141" s="1"/>
      <c r="S141" s="1"/>
      <c r="T141" s="1"/>
      <c r="U141" s="1"/>
    </row>
    <row r="142" spans="3:21">
      <c r="C142" s="155">
        <f>IF(D94="","-",+C141+1)</f>
        <v>2058</v>
      </c>
      <c r="D142" s="156">
        <f>IF(F141+SUM(E$100:E141)=D$93,F141,D$93-SUM(E$100:E141))</f>
        <v>0</v>
      </c>
      <c r="E142" s="162">
        <f>IF(+J97&lt;F141,J97,D142)</f>
        <v>0</v>
      </c>
      <c r="F142" s="161">
        <f t="shared" si="15"/>
        <v>0</v>
      </c>
      <c r="G142" s="161">
        <f t="shared" si="16"/>
        <v>0</v>
      </c>
      <c r="H142" s="314">
        <f t="shared" si="13"/>
        <v>0</v>
      </c>
      <c r="I142" s="323">
        <f t="shared" si="14"/>
        <v>0</v>
      </c>
      <c r="J142" s="160">
        <f t="shared" si="17"/>
        <v>0</v>
      </c>
      <c r="K142" s="160"/>
      <c r="L142" s="316"/>
      <c r="M142" s="160">
        <f t="shared" si="18"/>
        <v>0</v>
      </c>
      <c r="N142" s="316"/>
      <c r="O142" s="160">
        <f t="shared" si="19"/>
        <v>0</v>
      </c>
      <c r="P142" s="160">
        <f t="shared" si="20"/>
        <v>0</v>
      </c>
      <c r="Q142" s="1"/>
      <c r="R142" s="1"/>
      <c r="S142" s="1"/>
      <c r="T142" s="1"/>
      <c r="U142" s="1"/>
    </row>
    <row r="143" spans="3:21">
      <c r="C143" s="155">
        <f>IF(D94="","-",+C142+1)</f>
        <v>2059</v>
      </c>
      <c r="D143" s="156">
        <f>IF(F142+SUM(E$100:E142)=D$93,F142,D$93-SUM(E$100:E142))</f>
        <v>0</v>
      </c>
      <c r="E143" s="162">
        <f>IF(+J97&lt;F142,J97,D143)</f>
        <v>0</v>
      </c>
      <c r="F143" s="161">
        <f t="shared" si="15"/>
        <v>0</v>
      </c>
      <c r="G143" s="161">
        <f t="shared" si="16"/>
        <v>0</v>
      </c>
      <c r="H143" s="314">
        <f t="shared" si="13"/>
        <v>0</v>
      </c>
      <c r="I143" s="323">
        <f t="shared" si="14"/>
        <v>0</v>
      </c>
      <c r="J143" s="160">
        <f t="shared" si="17"/>
        <v>0</v>
      </c>
      <c r="K143" s="160"/>
      <c r="L143" s="316"/>
      <c r="M143" s="160">
        <f t="shared" si="18"/>
        <v>0</v>
      </c>
      <c r="N143" s="316"/>
      <c r="O143" s="160">
        <f t="shared" si="19"/>
        <v>0</v>
      </c>
      <c r="P143" s="160">
        <f t="shared" si="20"/>
        <v>0</v>
      </c>
      <c r="Q143" s="1"/>
      <c r="R143" s="1"/>
      <c r="S143" s="1"/>
      <c r="T143" s="1"/>
      <c r="U143" s="1"/>
    </row>
    <row r="144" spans="3:21">
      <c r="C144" s="155">
        <f>IF(D94="","-",+C143+1)</f>
        <v>2060</v>
      </c>
      <c r="D144" s="156">
        <f>IF(F143+SUM(E$100:E143)=D$93,F143,D$93-SUM(E$100:E143))</f>
        <v>0</v>
      </c>
      <c r="E144" s="162">
        <f>IF(+J97&lt;F143,J97,D144)</f>
        <v>0</v>
      </c>
      <c r="F144" s="161">
        <f t="shared" si="15"/>
        <v>0</v>
      </c>
      <c r="G144" s="161">
        <f t="shared" si="16"/>
        <v>0</v>
      </c>
      <c r="H144" s="314">
        <f t="shared" si="13"/>
        <v>0</v>
      </c>
      <c r="I144" s="323">
        <f t="shared" si="14"/>
        <v>0</v>
      </c>
      <c r="J144" s="160">
        <f t="shared" si="17"/>
        <v>0</v>
      </c>
      <c r="K144" s="160"/>
      <c r="L144" s="316"/>
      <c r="M144" s="160">
        <f t="shared" si="18"/>
        <v>0</v>
      </c>
      <c r="N144" s="316"/>
      <c r="O144" s="160">
        <f t="shared" si="19"/>
        <v>0</v>
      </c>
      <c r="P144" s="160">
        <f t="shared" si="20"/>
        <v>0</v>
      </c>
      <c r="Q144" s="1"/>
      <c r="R144" s="1"/>
      <c r="S144" s="1"/>
      <c r="T144" s="1"/>
      <c r="U144" s="1"/>
    </row>
    <row r="145" spans="3:21">
      <c r="C145" s="155">
        <f>IF(D94="","-",+C144+1)</f>
        <v>2061</v>
      </c>
      <c r="D145" s="156">
        <f>IF(F144+SUM(E$100:E144)=D$93,F144,D$93-SUM(E$100:E144))</f>
        <v>0</v>
      </c>
      <c r="E145" s="162">
        <f>IF(+J97&lt;F144,J97,D145)</f>
        <v>0</v>
      </c>
      <c r="F145" s="161">
        <f t="shared" si="15"/>
        <v>0</v>
      </c>
      <c r="G145" s="161">
        <f t="shared" si="16"/>
        <v>0</v>
      </c>
      <c r="H145" s="314">
        <f t="shared" si="13"/>
        <v>0</v>
      </c>
      <c r="I145" s="323">
        <f t="shared" si="14"/>
        <v>0</v>
      </c>
      <c r="J145" s="160">
        <f t="shared" si="17"/>
        <v>0</v>
      </c>
      <c r="K145" s="160"/>
      <c r="L145" s="316"/>
      <c r="M145" s="160">
        <f t="shared" si="18"/>
        <v>0</v>
      </c>
      <c r="N145" s="316"/>
      <c r="O145" s="160">
        <f t="shared" si="19"/>
        <v>0</v>
      </c>
      <c r="P145" s="160">
        <f t="shared" si="20"/>
        <v>0</v>
      </c>
      <c r="Q145" s="1"/>
      <c r="R145" s="1"/>
      <c r="S145" s="1"/>
      <c r="T145" s="1"/>
      <c r="U145" s="1"/>
    </row>
    <row r="146" spans="3:21">
      <c r="C146" s="155">
        <f>IF(D94="","-",+C145+1)</f>
        <v>2062</v>
      </c>
      <c r="D146" s="156">
        <f>IF(F145+SUM(E$100:E145)=D$93,F145,D$93-SUM(E$100:E145))</f>
        <v>0</v>
      </c>
      <c r="E146" s="162">
        <f>IF(+J97&lt;F145,J97,D146)</f>
        <v>0</v>
      </c>
      <c r="F146" s="161">
        <f t="shared" si="15"/>
        <v>0</v>
      </c>
      <c r="G146" s="161">
        <f t="shared" si="16"/>
        <v>0</v>
      </c>
      <c r="H146" s="314">
        <f t="shared" si="13"/>
        <v>0</v>
      </c>
      <c r="I146" s="323">
        <f t="shared" si="14"/>
        <v>0</v>
      </c>
      <c r="J146" s="160">
        <f t="shared" si="17"/>
        <v>0</v>
      </c>
      <c r="K146" s="160"/>
      <c r="L146" s="316"/>
      <c r="M146" s="160">
        <f t="shared" si="18"/>
        <v>0</v>
      </c>
      <c r="N146" s="316"/>
      <c r="O146" s="160">
        <f t="shared" si="19"/>
        <v>0</v>
      </c>
      <c r="P146" s="160">
        <f t="shared" si="20"/>
        <v>0</v>
      </c>
      <c r="Q146" s="1"/>
      <c r="R146" s="1"/>
      <c r="S146" s="1"/>
      <c r="T146" s="1"/>
      <c r="U146" s="1"/>
    </row>
    <row r="147" spans="3:21">
      <c r="C147" s="155">
        <f>IF(D94="","-",+C146+1)</f>
        <v>2063</v>
      </c>
      <c r="D147" s="156">
        <f>IF(F146+SUM(E$100:E146)=D$93,F146,D$93-SUM(E$100:E146))</f>
        <v>0</v>
      </c>
      <c r="E147" s="162">
        <f>IF(+J97&lt;F146,J97,D147)</f>
        <v>0</v>
      </c>
      <c r="F147" s="161">
        <f t="shared" si="15"/>
        <v>0</v>
      </c>
      <c r="G147" s="161">
        <f t="shared" si="16"/>
        <v>0</v>
      </c>
      <c r="H147" s="314">
        <f t="shared" si="13"/>
        <v>0</v>
      </c>
      <c r="I147" s="323">
        <f t="shared" si="14"/>
        <v>0</v>
      </c>
      <c r="J147" s="160">
        <f t="shared" si="17"/>
        <v>0</v>
      </c>
      <c r="K147" s="160"/>
      <c r="L147" s="316"/>
      <c r="M147" s="160">
        <f t="shared" si="18"/>
        <v>0</v>
      </c>
      <c r="N147" s="316"/>
      <c r="O147" s="160">
        <f t="shared" si="19"/>
        <v>0</v>
      </c>
      <c r="P147" s="160">
        <f t="shared" si="20"/>
        <v>0</v>
      </c>
      <c r="Q147" s="1"/>
      <c r="R147" s="1"/>
      <c r="S147" s="1"/>
      <c r="T147" s="1"/>
      <c r="U147" s="1"/>
    </row>
    <row r="148" spans="3:21">
      <c r="C148" s="155">
        <f>IF(D94="","-",+C147+1)</f>
        <v>2064</v>
      </c>
      <c r="D148" s="156">
        <f>IF(F147+SUM(E$100:E147)=D$93,F147,D$93-SUM(E$100:E147))</f>
        <v>0</v>
      </c>
      <c r="E148" s="162">
        <f>IF(+J97&lt;F147,J97,D148)</f>
        <v>0</v>
      </c>
      <c r="F148" s="161">
        <f t="shared" si="15"/>
        <v>0</v>
      </c>
      <c r="G148" s="161">
        <f t="shared" si="16"/>
        <v>0</v>
      </c>
      <c r="H148" s="314">
        <f t="shared" si="13"/>
        <v>0</v>
      </c>
      <c r="I148" s="323">
        <f t="shared" si="14"/>
        <v>0</v>
      </c>
      <c r="J148" s="160">
        <f t="shared" si="17"/>
        <v>0</v>
      </c>
      <c r="K148" s="160"/>
      <c r="L148" s="316"/>
      <c r="M148" s="160">
        <f t="shared" si="18"/>
        <v>0</v>
      </c>
      <c r="N148" s="316"/>
      <c r="O148" s="160">
        <f t="shared" si="19"/>
        <v>0</v>
      </c>
      <c r="P148" s="160">
        <f t="shared" si="20"/>
        <v>0</v>
      </c>
      <c r="Q148" s="1"/>
      <c r="R148" s="1"/>
      <c r="S148" s="1"/>
      <c r="T148" s="1"/>
      <c r="U148" s="1"/>
    </row>
    <row r="149" spans="3:21">
      <c r="C149" s="155">
        <f>IF(D94="","-",+C148+1)</f>
        <v>2065</v>
      </c>
      <c r="D149" s="156">
        <f>IF(F148+SUM(E$100:E148)=D$93,F148,D$93-SUM(E$100:E148))</f>
        <v>0</v>
      </c>
      <c r="E149" s="162">
        <f>IF(+J97&lt;F148,J97,D149)</f>
        <v>0</v>
      </c>
      <c r="F149" s="161">
        <f t="shared" si="15"/>
        <v>0</v>
      </c>
      <c r="G149" s="161">
        <f t="shared" si="16"/>
        <v>0</v>
      </c>
      <c r="H149" s="314">
        <f t="shared" si="13"/>
        <v>0</v>
      </c>
      <c r="I149" s="323">
        <f t="shared" si="14"/>
        <v>0</v>
      </c>
      <c r="J149" s="160">
        <f t="shared" si="17"/>
        <v>0</v>
      </c>
      <c r="K149" s="160"/>
      <c r="L149" s="316"/>
      <c r="M149" s="160">
        <f t="shared" si="18"/>
        <v>0</v>
      </c>
      <c r="N149" s="316"/>
      <c r="O149" s="160">
        <f t="shared" si="19"/>
        <v>0</v>
      </c>
      <c r="P149" s="160">
        <f t="shared" si="20"/>
        <v>0</v>
      </c>
      <c r="Q149" s="1"/>
      <c r="R149" s="1"/>
      <c r="S149" s="1"/>
      <c r="T149" s="1"/>
      <c r="U149" s="1"/>
    </row>
    <row r="150" spans="3:21">
      <c r="C150" s="155">
        <f>IF(D94="","-",+C149+1)</f>
        <v>2066</v>
      </c>
      <c r="D150" s="156">
        <f>IF(F149+SUM(E$100:E149)=D$93,F149,D$93-SUM(E$100:E149))</f>
        <v>0</v>
      </c>
      <c r="E150" s="162">
        <f>IF(+J97&lt;F149,J97,D150)</f>
        <v>0</v>
      </c>
      <c r="F150" s="161">
        <f t="shared" si="15"/>
        <v>0</v>
      </c>
      <c r="G150" s="161">
        <f t="shared" si="16"/>
        <v>0</v>
      </c>
      <c r="H150" s="314">
        <f t="shared" si="13"/>
        <v>0</v>
      </c>
      <c r="I150" s="323">
        <f t="shared" si="14"/>
        <v>0</v>
      </c>
      <c r="J150" s="160">
        <f t="shared" si="17"/>
        <v>0</v>
      </c>
      <c r="K150" s="160"/>
      <c r="L150" s="316"/>
      <c r="M150" s="160">
        <f t="shared" si="18"/>
        <v>0</v>
      </c>
      <c r="N150" s="316"/>
      <c r="O150" s="160">
        <f t="shared" si="19"/>
        <v>0</v>
      </c>
      <c r="P150" s="160">
        <f t="shared" si="20"/>
        <v>0</v>
      </c>
      <c r="Q150" s="1"/>
      <c r="R150" s="1"/>
      <c r="S150" s="1"/>
      <c r="T150" s="1"/>
      <c r="U150" s="1"/>
    </row>
    <row r="151" spans="3:21">
      <c r="C151" s="155">
        <f>IF(D94="","-",+C150+1)</f>
        <v>2067</v>
      </c>
      <c r="D151" s="156">
        <f>IF(F150+SUM(E$100:E150)=D$93,F150,D$93-SUM(E$100:E150))</f>
        <v>0</v>
      </c>
      <c r="E151" s="162">
        <f>IF(+J97&lt;F150,J97,D151)</f>
        <v>0</v>
      </c>
      <c r="F151" s="161">
        <f t="shared" si="15"/>
        <v>0</v>
      </c>
      <c r="G151" s="161">
        <f t="shared" si="16"/>
        <v>0</v>
      </c>
      <c r="H151" s="314">
        <f t="shared" si="13"/>
        <v>0</v>
      </c>
      <c r="I151" s="323">
        <f t="shared" si="14"/>
        <v>0</v>
      </c>
      <c r="J151" s="160">
        <f t="shared" si="17"/>
        <v>0</v>
      </c>
      <c r="K151" s="160"/>
      <c r="L151" s="316"/>
      <c r="M151" s="160">
        <f t="shared" si="18"/>
        <v>0</v>
      </c>
      <c r="N151" s="316"/>
      <c r="O151" s="160">
        <f t="shared" si="19"/>
        <v>0</v>
      </c>
      <c r="P151" s="160">
        <f t="shared" si="20"/>
        <v>0</v>
      </c>
      <c r="Q151" s="1"/>
      <c r="R151" s="1"/>
      <c r="S151" s="1"/>
      <c r="T151" s="1"/>
      <c r="U151" s="1"/>
    </row>
    <row r="152" spans="3:21">
      <c r="C152" s="155">
        <f>IF(D94="","-",+C151+1)</f>
        <v>2068</v>
      </c>
      <c r="D152" s="156">
        <f>IF(F151+SUM(E$100:E151)=D$93,F151,D$93-SUM(E$100:E151))</f>
        <v>0</v>
      </c>
      <c r="E152" s="162">
        <f>IF(+J97&lt;F151,J97,D152)</f>
        <v>0</v>
      </c>
      <c r="F152" s="161">
        <f t="shared" si="15"/>
        <v>0</v>
      </c>
      <c r="G152" s="161">
        <f t="shared" si="16"/>
        <v>0</v>
      </c>
      <c r="H152" s="314">
        <f t="shared" si="13"/>
        <v>0</v>
      </c>
      <c r="I152" s="323">
        <f t="shared" si="14"/>
        <v>0</v>
      </c>
      <c r="J152" s="160">
        <f t="shared" si="17"/>
        <v>0</v>
      </c>
      <c r="K152" s="160"/>
      <c r="L152" s="316"/>
      <c r="M152" s="160">
        <f t="shared" si="18"/>
        <v>0</v>
      </c>
      <c r="N152" s="316"/>
      <c r="O152" s="160">
        <f t="shared" si="19"/>
        <v>0</v>
      </c>
      <c r="P152" s="160">
        <f t="shared" si="20"/>
        <v>0</v>
      </c>
      <c r="Q152" s="1"/>
      <c r="R152" s="1"/>
      <c r="S152" s="1"/>
      <c r="T152" s="1"/>
      <c r="U152" s="1"/>
    </row>
    <row r="153" spans="3:21">
      <c r="C153" s="155">
        <f>IF(D94="","-",+C152+1)</f>
        <v>2069</v>
      </c>
      <c r="D153" s="156">
        <f>IF(F152+SUM(E$100:E152)=D$93,F152,D$93-SUM(E$100:E152))</f>
        <v>0</v>
      </c>
      <c r="E153" s="162">
        <f>IF(+J97&lt;F152,J97,D153)</f>
        <v>0</v>
      </c>
      <c r="F153" s="161">
        <f t="shared" si="15"/>
        <v>0</v>
      </c>
      <c r="G153" s="161">
        <f t="shared" si="16"/>
        <v>0</v>
      </c>
      <c r="H153" s="314">
        <f t="shared" si="13"/>
        <v>0</v>
      </c>
      <c r="I153" s="323">
        <f t="shared" si="14"/>
        <v>0</v>
      </c>
      <c r="J153" s="160">
        <f t="shared" si="17"/>
        <v>0</v>
      </c>
      <c r="K153" s="160"/>
      <c r="L153" s="316"/>
      <c r="M153" s="160">
        <f t="shared" si="18"/>
        <v>0</v>
      </c>
      <c r="N153" s="316"/>
      <c r="O153" s="160">
        <f t="shared" si="19"/>
        <v>0</v>
      </c>
      <c r="P153" s="160">
        <f t="shared" si="20"/>
        <v>0</v>
      </c>
      <c r="Q153" s="1"/>
      <c r="R153" s="1"/>
      <c r="S153" s="1"/>
      <c r="T153" s="1"/>
      <c r="U153" s="1"/>
    </row>
    <row r="154" spans="3:21">
      <c r="C154" s="155">
        <f>IF(D94="","-",+C153+1)</f>
        <v>2070</v>
      </c>
      <c r="D154" s="156">
        <f>IF(F153+SUM(E$100:E153)=D$93,F153,D$93-SUM(E$100:E153))</f>
        <v>0</v>
      </c>
      <c r="E154" s="162">
        <f>IF(+J97&lt;F153,J97,D154)</f>
        <v>0</v>
      </c>
      <c r="F154" s="161">
        <f t="shared" si="15"/>
        <v>0</v>
      </c>
      <c r="G154" s="161">
        <f t="shared" si="16"/>
        <v>0</v>
      </c>
      <c r="H154" s="314">
        <f t="shared" si="13"/>
        <v>0</v>
      </c>
      <c r="I154" s="323">
        <f t="shared" si="14"/>
        <v>0</v>
      </c>
      <c r="J154" s="160">
        <f t="shared" si="17"/>
        <v>0</v>
      </c>
      <c r="K154" s="160"/>
      <c r="L154" s="316"/>
      <c r="M154" s="160">
        <f t="shared" si="18"/>
        <v>0</v>
      </c>
      <c r="N154" s="316"/>
      <c r="O154" s="160">
        <f t="shared" si="19"/>
        <v>0</v>
      </c>
      <c r="P154" s="160">
        <f t="shared" si="20"/>
        <v>0</v>
      </c>
      <c r="Q154" s="1"/>
      <c r="R154" s="1"/>
      <c r="S154" s="1"/>
      <c r="T154" s="1"/>
      <c r="U154" s="1"/>
    </row>
    <row r="155" spans="3:21" ht="13.5" thickBot="1">
      <c r="C155" s="166">
        <f>IF(D94="","-",+C154+1)</f>
        <v>2071</v>
      </c>
      <c r="D155" s="214">
        <f>IF(F154+SUM(E$100:E154)=D$93,F154,D$93-SUM(E$100:E154))</f>
        <v>0</v>
      </c>
      <c r="E155" s="168">
        <f>IF(+J97&lt;F154,J97,D155)</f>
        <v>0</v>
      </c>
      <c r="F155" s="167">
        <f t="shared" si="15"/>
        <v>0</v>
      </c>
      <c r="G155" s="167">
        <f t="shared" si="16"/>
        <v>0</v>
      </c>
      <c r="H155" s="324">
        <f t="shared" si="13"/>
        <v>0</v>
      </c>
      <c r="I155" s="325">
        <f t="shared" si="14"/>
        <v>0</v>
      </c>
      <c r="J155" s="171">
        <f t="shared" si="17"/>
        <v>0</v>
      </c>
      <c r="K155" s="160"/>
      <c r="L155" s="317"/>
      <c r="M155" s="171">
        <f t="shared" si="18"/>
        <v>0</v>
      </c>
      <c r="N155" s="317"/>
      <c r="O155" s="171">
        <f t="shared" si="19"/>
        <v>0</v>
      </c>
      <c r="P155" s="171">
        <f t="shared" si="20"/>
        <v>0</v>
      </c>
      <c r="Q155" s="1"/>
      <c r="R155" s="1"/>
      <c r="S155" s="1"/>
      <c r="T155" s="1"/>
      <c r="U155" s="1"/>
    </row>
    <row r="156" spans="3:21">
      <c r="C156" s="156" t="s">
        <v>75</v>
      </c>
      <c r="D156" s="112"/>
      <c r="E156" s="112">
        <f>SUM(E100:E155)</f>
        <v>68230088</v>
      </c>
      <c r="F156" s="112"/>
      <c r="G156" s="112"/>
      <c r="H156" s="112">
        <f>SUM(H100:H155)</f>
        <v>194981962.71548021</v>
      </c>
      <c r="I156" s="112">
        <f>SUM(I100:I155)</f>
        <v>194981962.71548021</v>
      </c>
      <c r="J156" s="112">
        <f>SUM(J100:J155)</f>
        <v>0</v>
      </c>
      <c r="K156" s="112"/>
      <c r="L156" s="112"/>
      <c r="M156" s="112"/>
      <c r="N156" s="112"/>
      <c r="O156" s="112"/>
      <c r="P156" s="1"/>
      <c r="Q156" s="1"/>
      <c r="R156" s="1"/>
      <c r="S156" s="1"/>
      <c r="T156" s="1"/>
      <c r="U156" s="1"/>
    </row>
    <row r="157" spans="3:21">
      <c r="C157" t="s">
        <v>90</v>
      </c>
      <c r="D157" s="2"/>
      <c r="E157" s="1"/>
      <c r="F157" s="1"/>
      <c r="G157" s="1"/>
      <c r="H157" s="1"/>
      <c r="I157" s="3"/>
      <c r="J157" s="3"/>
      <c r="K157" s="112"/>
      <c r="L157" s="3"/>
      <c r="M157" s="3"/>
      <c r="N157" s="3"/>
      <c r="O157" s="3"/>
      <c r="P157" s="1"/>
      <c r="Q157" s="1"/>
      <c r="R157" s="1"/>
      <c r="S157" s="1"/>
      <c r="T157" s="1"/>
      <c r="U157" s="1"/>
    </row>
    <row r="158" spans="3:21">
      <c r="C158" s="215"/>
      <c r="D158" s="2"/>
      <c r="E158" s="1"/>
      <c r="F158" s="1"/>
      <c r="G158" s="1"/>
      <c r="H158" s="1"/>
      <c r="I158" s="3"/>
      <c r="J158" s="3"/>
      <c r="K158" s="112"/>
      <c r="L158" s="3"/>
      <c r="M158" s="3"/>
      <c r="N158" s="3"/>
      <c r="O158" s="3"/>
      <c r="P158" s="1"/>
      <c r="Q158" s="1"/>
      <c r="R158" s="1"/>
      <c r="S158" s="1"/>
      <c r="T158" s="1"/>
      <c r="U158" s="1"/>
    </row>
    <row r="159" spans="3:21">
      <c r="C159" s="245" t="s">
        <v>130</v>
      </c>
      <c r="D159" s="2"/>
      <c r="E159" s="1"/>
      <c r="F159" s="1"/>
      <c r="G159" s="1"/>
      <c r="H159" s="1"/>
      <c r="I159" s="3"/>
      <c r="J159" s="3"/>
      <c r="K159" s="112"/>
      <c r="L159" s="3"/>
      <c r="M159" s="3"/>
      <c r="N159" s="3"/>
      <c r="O159" s="3"/>
      <c r="P159" s="1"/>
      <c r="Q159" s="1"/>
      <c r="R159" s="1"/>
      <c r="S159" s="1"/>
      <c r="T159" s="1"/>
      <c r="U159" s="1"/>
    </row>
    <row r="160" spans="3:21">
      <c r="C160" s="124" t="s">
        <v>76</v>
      </c>
      <c r="D160" s="156"/>
      <c r="E160" s="156"/>
      <c r="F160" s="156"/>
      <c r="G160" s="156"/>
      <c r="H160" s="112"/>
      <c r="I160" s="112"/>
      <c r="J160" s="173"/>
      <c r="K160" s="173"/>
      <c r="L160" s="173"/>
      <c r="M160" s="173"/>
      <c r="N160" s="173"/>
      <c r="O160" s="173"/>
      <c r="P160" s="1"/>
      <c r="Q160" s="1"/>
      <c r="R160" s="1"/>
      <c r="S160" s="1"/>
      <c r="T160" s="1"/>
      <c r="U160" s="1"/>
    </row>
    <row r="161" spans="3:21">
      <c r="C161" s="216" t="s">
        <v>77</v>
      </c>
      <c r="D161" s="156"/>
      <c r="E161" s="156"/>
      <c r="F161" s="156"/>
      <c r="G161" s="156"/>
      <c r="H161" s="112"/>
      <c r="I161" s="112"/>
      <c r="J161" s="173"/>
      <c r="K161" s="173"/>
      <c r="L161" s="173"/>
      <c r="M161" s="173"/>
      <c r="N161" s="173"/>
      <c r="O161" s="173"/>
      <c r="P161" s="1"/>
      <c r="Q161" s="1"/>
      <c r="R161" s="1"/>
      <c r="S161" s="1"/>
      <c r="T161" s="1"/>
      <c r="U161" s="1"/>
    </row>
    <row r="162" spans="3:21">
      <c r="C162" s="216"/>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73">
    <cfRule type="cellIs" dxfId="21" priority="1" stopIfTrue="1" operator="equal">
      <formula>$I$10</formula>
    </cfRule>
  </conditionalFormatting>
  <conditionalFormatting sqref="C100:C155">
    <cfRule type="cellIs" dxfId="20"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U163"/>
  <sheetViews>
    <sheetView view="pageBreakPreview" zoomScale="85" zoomScaleNormal="100" workbookViewId="0">
      <selection activeCell="D11" sqref="D11"/>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"&amp;RIGHT(MID(CELL("filename",$A$1),FIND("]",CELL("filename",$A$1))+1,256),2)&amp;" of "&amp;COUNT('OKT.001:OKT.xyz - blank'!$P$3)-1</f>
        <v>OKT Project 15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t="str">
        <f>"For Calendar Year "&amp;V1-1&amp;" and Projected Year "&amp;V1</f>
        <v xml:space="preserve">For Calendar Year -1 and Projected Year </v>
      </c>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1479941.6722122387</v>
      </c>
      <c r="P5" s="1"/>
      <c r="R5" s="1"/>
      <c r="S5" s="1"/>
      <c r="T5" s="1"/>
      <c r="U5" s="1"/>
    </row>
    <row r="6" spans="1:21" ht="15.75">
      <c r="C6" s="8"/>
      <c r="D6" s="2"/>
      <c r="E6" s="1"/>
      <c r="F6" s="1"/>
      <c r="G6" s="1"/>
      <c r="H6" s="119"/>
      <c r="I6" s="119"/>
      <c r="J6" s="120"/>
      <c r="K6" s="121" t="s">
        <v>243</v>
      </c>
      <c r="L6" s="122"/>
      <c r="M6" s="4"/>
      <c r="N6" s="123">
        <f>VLOOKUP(I10,C17:I73,6)</f>
        <v>1479941.6722122387</v>
      </c>
      <c r="O6" s="1"/>
      <c r="P6" s="1"/>
      <c r="R6" s="1"/>
      <c r="S6" s="1"/>
      <c r="T6" s="1"/>
      <c r="U6" s="1"/>
    </row>
    <row r="7" spans="1:21" ht="13.5" thickBot="1">
      <c r="C7" s="124" t="s">
        <v>46</v>
      </c>
      <c r="D7" s="258" t="s">
        <v>244</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A9" s="104"/>
      <c r="C9" s="130" t="s">
        <v>48</v>
      </c>
      <c r="D9" s="224">
        <v>30619</v>
      </c>
      <c r="E9" s="131"/>
      <c r="F9" s="131"/>
      <c r="G9" s="131"/>
      <c r="H9" s="131"/>
      <c r="I9" s="132"/>
      <c r="J9" s="133"/>
      <c r="O9" s="134"/>
      <c r="P9" s="4"/>
      <c r="R9" s="1"/>
      <c r="S9" s="1"/>
      <c r="T9" s="1"/>
      <c r="U9" s="1"/>
    </row>
    <row r="10" spans="1:21">
      <c r="C10" s="135" t="s">
        <v>49</v>
      </c>
      <c r="D10" s="136">
        <v>10615000</v>
      </c>
      <c r="E10" s="63" t="s">
        <v>50</v>
      </c>
      <c r="F10" s="134"/>
      <c r="G10" s="137"/>
      <c r="H10" s="137"/>
      <c r="I10" s="138">
        <f>+OKT.WS.F.BPU.ATRR.Projected!R100</f>
        <v>2018</v>
      </c>
      <c r="J10" s="133"/>
      <c r="K10" s="112" t="s">
        <v>51</v>
      </c>
      <c r="O10" s="4"/>
      <c r="P10" s="4"/>
      <c r="R10" s="1"/>
      <c r="S10" s="1"/>
      <c r="T10" s="1"/>
      <c r="U10" s="1"/>
    </row>
    <row r="11" spans="1:21">
      <c r="C11" s="139" t="s">
        <v>52</v>
      </c>
      <c r="D11" s="140">
        <v>2017</v>
      </c>
      <c r="E11" s="139" t="s">
        <v>53</v>
      </c>
      <c r="F11" s="137"/>
      <c r="G11" s="7"/>
      <c r="H11" s="7"/>
      <c r="I11" s="141">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6</v>
      </c>
      <c r="E12" s="139" t="s">
        <v>55</v>
      </c>
      <c r="F12" s="137"/>
      <c r="G12" s="7"/>
      <c r="H12" s="7"/>
      <c r="I12" s="143">
        <f>OKT.WS.F.BPU.ATRR.Projected!$F$78</f>
        <v>0.11749102697326873</v>
      </c>
      <c r="J12" s="336"/>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260328.43725382842</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73" si="0">IF(D17=F16,"","IU")</f>
        <v>IU</v>
      </c>
      <c r="C17" s="341">
        <f>IF(D11= "","-",D11)</f>
        <v>2017</v>
      </c>
      <c r="D17" s="392">
        <v>0</v>
      </c>
      <c r="E17" s="400">
        <v>104355.95770200831</v>
      </c>
      <c r="F17" s="392">
        <v>10510644.042297991</v>
      </c>
      <c r="G17" s="400">
        <v>682125.91542676068</v>
      </c>
      <c r="H17" s="398">
        <v>682125.91542676068</v>
      </c>
      <c r="I17" s="158">
        <f>H17-G17</f>
        <v>0</v>
      </c>
      <c r="J17" s="158"/>
      <c r="K17" s="344">
        <f>+G17</f>
        <v>682125.91542676068</v>
      </c>
      <c r="L17" s="160">
        <f>IF(K17&lt;&gt;0,+G17-K17,0)</f>
        <v>0</v>
      </c>
      <c r="M17" s="344">
        <f>+H17</f>
        <v>682125.91542676068</v>
      </c>
      <c r="N17" s="367">
        <f t="shared" ref="N17:N73" si="1">IF(M17&lt;&gt;0,+H17-M17,0)</f>
        <v>0</v>
      </c>
      <c r="O17" s="160">
        <f t="shared" ref="O17:O73" si="2">+N17-L17</f>
        <v>0</v>
      </c>
      <c r="P17" s="4"/>
      <c r="R17" s="1"/>
      <c r="S17" s="1"/>
      <c r="T17" s="1"/>
      <c r="U17" s="1"/>
    </row>
    <row r="18" spans="2:21">
      <c r="B18" t="str">
        <f t="shared" si="0"/>
        <v/>
      </c>
      <c r="C18" s="155">
        <f>IF(D11="","-",+C17+1)</f>
        <v>2018</v>
      </c>
      <c r="D18" s="394">
        <v>10510644.042297991</v>
      </c>
      <c r="E18" s="393">
        <v>260328.43725382842</v>
      </c>
      <c r="F18" s="394">
        <v>10250315.605044162</v>
      </c>
      <c r="G18" s="393">
        <v>1479941.6722122387</v>
      </c>
      <c r="H18" s="398">
        <v>1479941.6722122387</v>
      </c>
      <c r="I18" s="158">
        <f>H18-G18</f>
        <v>0</v>
      </c>
      <c r="J18" s="158"/>
      <c r="K18" s="355">
        <f>+G18</f>
        <v>1479941.6722122387</v>
      </c>
      <c r="L18" s="360">
        <f>IF(K18&lt;&gt;0,+G18-K18,0)</f>
        <v>0</v>
      </c>
      <c r="M18" s="355">
        <f>+H18</f>
        <v>1479941.6722122387</v>
      </c>
      <c r="N18" s="160">
        <f>IF(M18&lt;&gt;0,+H18-M18,0)</f>
        <v>0</v>
      </c>
      <c r="O18" s="160">
        <f>+N18-L18</f>
        <v>0</v>
      </c>
      <c r="P18" s="4"/>
      <c r="R18" s="1"/>
      <c r="S18" s="1"/>
      <c r="T18" s="1"/>
      <c r="U18" s="1"/>
    </row>
    <row r="19" spans="2:21">
      <c r="B19" t="str">
        <f t="shared" si="0"/>
        <v/>
      </c>
      <c r="C19" s="155">
        <f>IF(D11="","-",+C18+1)</f>
        <v>2019</v>
      </c>
      <c r="D19" s="161">
        <f>IF(F18+SUM(E$17:E18)=D$10,F18,D$10-SUM(E$17:E18))</f>
        <v>10250315.605044162</v>
      </c>
      <c r="E19" s="162">
        <f t="shared" ref="E19:E40" si="3">IF(+I$14&lt;F18,I$14,D19)</f>
        <v>260328.43725382842</v>
      </c>
      <c r="F19" s="161">
        <f>+D19-E19</f>
        <v>9989987.1677903328</v>
      </c>
      <c r="G19" s="163">
        <f t="shared" ref="G19:G73" si="4">(D19+F19)/2*I$12+E19</f>
        <v>1449355.4167689402</v>
      </c>
      <c r="H19" s="145">
        <f t="shared" ref="H19:H73" si="5">+(D19+F19)/2*I$13+E19</f>
        <v>1449355.4167689402</v>
      </c>
      <c r="I19" s="158">
        <f>H19-G19</f>
        <v>0</v>
      </c>
      <c r="J19" s="158"/>
      <c r="K19" s="316"/>
      <c r="L19" s="160">
        <f>IF(K19&lt;&gt;0,+G19-K19,0)</f>
        <v>0</v>
      </c>
      <c r="M19" s="316"/>
      <c r="N19" s="160">
        <f>IF(M19&lt;&gt;0,+H19-M19,0)</f>
        <v>0</v>
      </c>
      <c r="O19" s="160">
        <f>+N19-L19</f>
        <v>0</v>
      </c>
      <c r="P19" s="4"/>
      <c r="R19" s="1"/>
      <c r="S19" s="1"/>
      <c r="T19" s="1"/>
      <c r="U19" s="1"/>
    </row>
    <row r="20" spans="2:21">
      <c r="B20" t="str">
        <f t="shared" si="0"/>
        <v/>
      </c>
      <c r="C20" s="155">
        <f>IF(D11="","-",+C19+1)</f>
        <v>2020</v>
      </c>
      <c r="D20" s="161">
        <f>IF(F19+SUM(E$17:E19)=D$10,F19,D$10-SUM(E$17:E19))</f>
        <v>9989987.1677903328</v>
      </c>
      <c r="E20" s="162">
        <f t="shared" si="3"/>
        <v>260328.43725382842</v>
      </c>
      <c r="F20" s="161">
        <f>+D20-E20</f>
        <v>9729658.7305365037</v>
      </c>
      <c r="G20" s="163">
        <f t="shared" si="4"/>
        <v>1418769.1613256417</v>
      </c>
      <c r="H20" s="145">
        <f t="shared" si="5"/>
        <v>1418769.1613256417</v>
      </c>
      <c r="I20" s="158">
        <f>H20-G20</f>
        <v>0</v>
      </c>
      <c r="J20" s="158"/>
      <c r="K20" s="316"/>
      <c r="L20" s="160">
        <f t="shared" ref="L20:L73" si="6">IF(K20&lt;&gt;0,+G20-K20,0)</f>
        <v>0</v>
      </c>
      <c r="M20" s="316"/>
      <c r="N20" s="160">
        <f t="shared" si="1"/>
        <v>0</v>
      </c>
      <c r="O20" s="160">
        <f t="shared" si="2"/>
        <v>0</v>
      </c>
      <c r="P20" s="4"/>
      <c r="R20" s="1"/>
      <c r="S20" s="1"/>
      <c r="T20" s="1"/>
      <c r="U20" s="1"/>
    </row>
    <row r="21" spans="2:21">
      <c r="B21" t="str">
        <f t="shared" si="0"/>
        <v/>
      </c>
      <c r="C21" s="155">
        <f>IF(D12="","-",+C20+1)</f>
        <v>2021</v>
      </c>
      <c r="D21" s="164">
        <f>IF(F20+SUM(E$17:E20)=D$10,F20,D$10-SUM(E$17:E20))</f>
        <v>9729658.7305365037</v>
      </c>
      <c r="E21" s="162">
        <f t="shared" si="3"/>
        <v>260328.43725382842</v>
      </c>
      <c r="F21" s="161">
        <f t="shared" ref="F21:F73" si="7">+D21-E21</f>
        <v>9469330.2932826746</v>
      </c>
      <c r="G21" s="163">
        <f>(D21+F21)/2*I$12+E21</f>
        <v>1388182.905882343</v>
      </c>
      <c r="H21" s="145">
        <f t="shared" si="5"/>
        <v>1388182.905882343</v>
      </c>
      <c r="I21" s="158">
        <f t="shared" ref="I21:I73" si="8">H21-G21</f>
        <v>0</v>
      </c>
      <c r="J21" s="158"/>
      <c r="K21" s="316"/>
      <c r="L21" s="160">
        <f t="shared" si="6"/>
        <v>0</v>
      </c>
      <c r="M21" s="316"/>
      <c r="N21" s="160">
        <f t="shared" si="1"/>
        <v>0</v>
      </c>
      <c r="O21" s="160">
        <f t="shared" si="2"/>
        <v>0</v>
      </c>
      <c r="P21" s="4"/>
      <c r="R21" s="1"/>
      <c r="S21" s="1"/>
      <c r="T21" s="1"/>
      <c r="U21" s="1"/>
    </row>
    <row r="22" spans="2:21">
      <c r="B22" t="str">
        <f t="shared" si="0"/>
        <v/>
      </c>
      <c r="C22" s="155">
        <f>IF(D11="","-",+C21+1)</f>
        <v>2022</v>
      </c>
      <c r="D22" s="164">
        <f>IF(F21+SUM(E$17:E21)=D$10,F21,D$10-SUM(E$17:E21))</f>
        <v>9469330.2932826746</v>
      </c>
      <c r="E22" s="162">
        <f t="shared" si="3"/>
        <v>260328.43725382842</v>
      </c>
      <c r="F22" s="161">
        <f t="shared" si="7"/>
        <v>9209001.8560288455</v>
      </c>
      <c r="G22" s="163">
        <f t="shared" si="4"/>
        <v>1357596.6504390445</v>
      </c>
      <c r="H22" s="145">
        <f t="shared" si="5"/>
        <v>1357596.6504390445</v>
      </c>
      <c r="I22" s="158">
        <f t="shared" si="8"/>
        <v>0</v>
      </c>
      <c r="J22" s="158"/>
      <c r="K22" s="316"/>
      <c r="L22" s="160">
        <f t="shared" si="6"/>
        <v>0</v>
      </c>
      <c r="M22" s="316"/>
      <c r="N22" s="160">
        <f t="shared" si="1"/>
        <v>0</v>
      </c>
      <c r="O22" s="160">
        <f t="shared" si="2"/>
        <v>0</v>
      </c>
      <c r="P22" s="4"/>
      <c r="R22" s="1"/>
      <c r="S22" s="1"/>
      <c r="T22" s="1"/>
      <c r="U22" s="1"/>
    </row>
    <row r="23" spans="2:21">
      <c r="B23" t="str">
        <f t="shared" si="0"/>
        <v/>
      </c>
      <c r="C23" s="155">
        <f>IF(D11="","-",+C22+1)</f>
        <v>2023</v>
      </c>
      <c r="D23" s="164">
        <f>IF(F22+SUM(E$17:E22)=D$10,F22,D$10-SUM(E$17:E22))</f>
        <v>9209001.8560288455</v>
      </c>
      <c r="E23" s="162">
        <f t="shared" si="3"/>
        <v>260328.43725382842</v>
      </c>
      <c r="F23" s="161">
        <f t="shared" si="7"/>
        <v>8948673.4187750164</v>
      </c>
      <c r="G23" s="163">
        <f t="shared" si="4"/>
        <v>1327010.394995746</v>
      </c>
      <c r="H23" s="145">
        <f t="shared" si="5"/>
        <v>1327010.394995746</v>
      </c>
      <c r="I23" s="158">
        <f t="shared" si="8"/>
        <v>0</v>
      </c>
      <c r="J23" s="158"/>
      <c r="K23" s="316"/>
      <c r="L23" s="160">
        <f t="shared" si="6"/>
        <v>0</v>
      </c>
      <c r="M23" s="316"/>
      <c r="N23" s="160">
        <f t="shared" si="1"/>
        <v>0</v>
      </c>
      <c r="O23" s="160">
        <f t="shared" si="2"/>
        <v>0</v>
      </c>
      <c r="P23" s="4"/>
      <c r="R23" s="1"/>
      <c r="S23" s="1"/>
      <c r="T23" s="1"/>
      <c r="U23" s="1"/>
    </row>
    <row r="24" spans="2:21">
      <c r="B24" t="str">
        <f t="shared" si="0"/>
        <v/>
      </c>
      <c r="C24" s="155">
        <f>IF(D11="","-",+C23+1)</f>
        <v>2024</v>
      </c>
      <c r="D24" s="164">
        <f>IF(F23+SUM(E$17:E23)=D$10,F23,D$10-SUM(E$17:E23))</f>
        <v>8948673.4187750164</v>
      </c>
      <c r="E24" s="162">
        <f t="shared" si="3"/>
        <v>260328.43725382842</v>
      </c>
      <c r="F24" s="161">
        <f t="shared" si="7"/>
        <v>8688344.9815211874</v>
      </c>
      <c r="G24" s="163">
        <f t="shared" si="4"/>
        <v>1296424.1395524475</v>
      </c>
      <c r="H24" s="145">
        <f t="shared" si="5"/>
        <v>1296424.1395524475</v>
      </c>
      <c r="I24" s="158">
        <f t="shared" si="8"/>
        <v>0</v>
      </c>
      <c r="J24" s="158"/>
      <c r="K24" s="316"/>
      <c r="L24" s="160">
        <f t="shared" si="6"/>
        <v>0</v>
      </c>
      <c r="M24" s="316"/>
      <c r="N24" s="160">
        <f t="shared" si="1"/>
        <v>0</v>
      </c>
      <c r="O24" s="160">
        <f t="shared" si="2"/>
        <v>0</v>
      </c>
      <c r="P24" s="4"/>
      <c r="R24" s="1"/>
      <c r="S24" s="1"/>
      <c r="T24" s="1"/>
      <c r="U24" s="1"/>
    </row>
    <row r="25" spans="2:21">
      <c r="B25" t="str">
        <f t="shared" si="0"/>
        <v/>
      </c>
      <c r="C25" s="155">
        <f>IF(D11="","-",+C24+1)</f>
        <v>2025</v>
      </c>
      <c r="D25" s="164">
        <f>IF(F24+SUM(E$17:E24)=D$10,F24,D$10-SUM(E$17:E24))</f>
        <v>8688344.9815211874</v>
      </c>
      <c r="E25" s="162">
        <f t="shared" si="3"/>
        <v>260328.43725382842</v>
      </c>
      <c r="F25" s="161">
        <f t="shared" si="7"/>
        <v>8428016.5442673583</v>
      </c>
      <c r="G25" s="163">
        <f t="shared" si="4"/>
        <v>1265837.884109149</v>
      </c>
      <c r="H25" s="145">
        <f t="shared" si="5"/>
        <v>1265837.884109149</v>
      </c>
      <c r="I25" s="158">
        <f t="shared" si="8"/>
        <v>0</v>
      </c>
      <c r="J25" s="158"/>
      <c r="K25" s="316"/>
      <c r="L25" s="160">
        <f t="shared" si="6"/>
        <v>0</v>
      </c>
      <c r="M25" s="316"/>
      <c r="N25" s="160">
        <f t="shared" si="1"/>
        <v>0</v>
      </c>
      <c r="O25" s="160">
        <f t="shared" si="2"/>
        <v>0</v>
      </c>
      <c r="P25" s="4"/>
      <c r="R25" s="1"/>
      <c r="S25" s="1"/>
      <c r="T25" s="1"/>
      <c r="U25" s="1"/>
    </row>
    <row r="26" spans="2:21">
      <c r="B26" t="str">
        <f t="shared" si="0"/>
        <v/>
      </c>
      <c r="C26" s="155">
        <f>IF(D11="","-",+C25+1)</f>
        <v>2026</v>
      </c>
      <c r="D26" s="164">
        <f>IF(F25+SUM(E$17:E25)=D$10,F25,D$10-SUM(E$17:E25))</f>
        <v>8428016.5442673583</v>
      </c>
      <c r="E26" s="162">
        <f t="shared" si="3"/>
        <v>260328.43725382842</v>
      </c>
      <c r="F26" s="161">
        <f t="shared" si="7"/>
        <v>8167688.1070135301</v>
      </c>
      <c r="G26" s="163">
        <f t="shared" si="4"/>
        <v>1235251.6286658505</v>
      </c>
      <c r="H26" s="145">
        <f t="shared" si="5"/>
        <v>1235251.6286658505</v>
      </c>
      <c r="I26" s="158">
        <f t="shared" si="8"/>
        <v>0</v>
      </c>
      <c r="J26" s="158"/>
      <c r="K26" s="316"/>
      <c r="L26" s="160">
        <f t="shared" si="6"/>
        <v>0</v>
      </c>
      <c r="M26" s="316"/>
      <c r="N26" s="160">
        <f t="shared" si="1"/>
        <v>0</v>
      </c>
      <c r="O26" s="160">
        <f t="shared" si="2"/>
        <v>0</v>
      </c>
      <c r="P26" s="4"/>
      <c r="R26" s="1"/>
      <c r="S26" s="1"/>
      <c r="T26" s="1"/>
      <c r="U26" s="1"/>
    </row>
    <row r="27" spans="2:21">
      <c r="B27" t="str">
        <f t="shared" si="0"/>
        <v/>
      </c>
      <c r="C27" s="155">
        <f>IF(D11="","-",+C26+1)</f>
        <v>2027</v>
      </c>
      <c r="D27" s="164">
        <f>IF(F26+SUM(E$17:E26)=D$10,F26,D$10-SUM(E$17:E26))</f>
        <v>8167688.1070135301</v>
      </c>
      <c r="E27" s="162">
        <f t="shared" si="3"/>
        <v>260328.43725382842</v>
      </c>
      <c r="F27" s="161">
        <f t="shared" si="7"/>
        <v>7907359.6697597019</v>
      </c>
      <c r="G27" s="163">
        <f t="shared" si="4"/>
        <v>1204665.3732225522</v>
      </c>
      <c r="H27" s="145">
        <f t="shared" si="5"/>
        <v>1204665.3732225522</v>
      </c>
      <c r="I27" s="158">
        <f t="shared" si="8"/>
        <v>0</v>
      </c>
      <c r="J27" s="158"/>
      <c r="K27" s="316"/>
      <c r="L27" s="160">
        <f t="shared" si="6"/>
        <v>0</v>
      </c>
      <c r="M27" s="316"/>
      <c r="N27" s="160">
        <f t="shared" si="1"/>
        <v>0</v>
      </c>
      <c r="O27" s="160">
        <f t="shared" si="2"/>
        <v>0</v>
      </c>
      <c r="P27" s="4"/>
      <c r="R27" s="1"/>
      <c r="S27" s="1"/>
      <c r="T27" s="1"/>
      <c r="U27" s="1"/>
    </row>
    <row r="28" spans="2:21">
      <c r="B28" t="str">
        <f t="shared" si="0"/>
        <v/>
      </c>
      <c r="C28" s="155">
        <f>IF(D11="","-",+C27+1)</f>
        <v>2028</v>
      </c>
      <c r="D28" s="164">
        <f>IF(F27+SUM(E$17:E27)=D$10,F27,D$10-SUM(E$17:E27))</f>
        <v>7907359.6697597019</v>
      </c>
      <c r="E28" s="162">
        <f t="shared" si="3"/>
        <v>260328.43725382842</v>
      </c>
      <c r="F28" s="161">
        <f t="shared" si="7"/>
        <v>7647031.2325058738</v>
      </c>
      <c r="G28" s="163">
        <f t="shared" si="4"/>
        <v>1174079.1177792535</v>
      </c>
      <c r="H28" s="145">
        <f t="shared" si="5"/>
        <v>1174079.1177792535</v>
      </c>
      <c r="I28" s="158">
        <f t="shared" si="8"/>
        <v>0</v>
      </c>
      <c r="J28" s="158"/>
      <c r="K28" s="316"/>
      <c r="L28" s="160">
        <f t="shared" si="6"/>
        <v>0</v>
      </c>
      <c r="M28" s="316"/>
      <c r="N28" s="160">
        <f t="shared" si="1"/>
        <v>0</v>
      </c>
      <c r="O28" s="160">
        <f t="shared" si="2"/>
        <v>0</v>
      </c>
      <c r="P28" s="4"/>
      <c r="R28" s="1"/>
      <c r="S28" s="1"/>
      <c r="T28" s="1"/>
      <c r="U28" s="1"/>
    </row>
    <row r="29" spans="2:21">
      <c r="B29" t="str">
        <f t="shared" si="0"/>
        <v/>
      </c>
      <c r="C29" s="155">
        <f>IF(D11="","-",+C28+1)</f>
        <v>2029</v>
      </c>
      <c r="D29" s="164">
        <f>IF(F28+SUM(E$17:E28)=D$10,F28,D$10-SUM(E$17:E28))</f>
        <v>7647031.2325058738</v>
      </c>
      <c r="E29" s="162">
        <f t="shared" si="3"/>
        <v>260328.43725382842</v>
      </c>
      <c r="F29" s="161">
        <f t="shared" si="7"/>
        <v>7386702.7952520456</v>
      </c>
      <c r="G29" s="163">
        <f t="shared" si="4"/>
        <v>1143492.8623359553</v>
      </c>
      <c r="H29" s="145">
        <f t="shared" si="5"/>
        <v>1143492.8623359553</v>
      </c>
      <c r="I29" s="158">
        <f t="shared" si="8"/>
        <v>0</v>
      </c>
      <c r="J29" s="158"/>
      <c r="K29" s="316"/>
      <c r="L29" s="160">
        <f t="shared" si="6"/>
        <v>0</v>
      </c>
      <c r="M29" s="316"/>
      <c r="N29" s="160">
        <f t="shared" si="1"/>
        <v>0</v>
      </c>
      <c r="O29" s="160">
        <f t="shared" si="2"/>
        <v>0</v>
      </c>
      <c r="P29" s="4"/>
      <c r="R29" s="1"/>
      <c r="S29" s="1"/>
      <c r="T29" s="1"/>
      <c r="U29" s="1"/>
    </row>
    <row r="30" spans="2:21">
      <c r="B30" t="str">
        <f t="shared" si="0"/>
        <v/>
      </c>
      <c r="C30" s="155">
        <f>IF(D11="","-",+C29+1)</f>
        <v>2030</v>
      </c>
      <c r="D30" s="164">
        <f>IF(F29+SUM(E$17:E29)=D$10,F29,D$10-SUM(E$17:E29))</f>
        <v>7386702.7952520456</v>
      </c>
      <c r="E30" s="162">
        <f t="shared" si="3"/>
        <v>260328.43725382842</v>
      </c>
      <c r="F30" s="161">
        <f t="shared" si="7"/>
        <v>7126374.3579982175</v>
      </c>
      <c r="G30" s="163">
        <f t="shared" si="4"/>
        <v>1112906.6068926568</v>
      </c>
      <c r="H30" s="145">
        <f t="shared" si="5"/>
        <v>1112906.6068926568</v>
      </c>
      <c r="I30" s="158">
        <f t="shared" si="8"/>
        <v>0</v>
      </c>
      <c r="J30" s="158"/>
      <c r="K30" s="316"/>
      <c r="L30" s="160">
        <f t="shared" si="6"/>
        <v>0</v>
      </c>
      <c r="M30" s="316"/>
      <c r="N30" s="160">
        <f t="shared" si="1"/>
        <v>0</v>
      </c>
      <c r="O30" s="160">
        <f t="shared" si="2"/>
        <v>0</v>
      </c>
      <c r="P30" s="4"/>
      <c r="R30" s="1"/>
      <c r="S30" s="1"/>
      <c r="T30" s="1"/>
      <c r="U30" s="1"/>
    </row>
    <row r="31" spans="2:21">
      <c r="B31" t="str">
        <f t="shared" si="0"/>
        <v/>
      </c>
      <c r="C31" s="155">
        <f>IF(D11="","-",+C30+1)</f>
        <v>2031</v>
      </c>
      <c r="D31" s="164">
        <f>IF(F30+SUM(E$17:E30)=D$10,F30,D$10-SUM(E$17:E30))</f>
        <v>7126374.3579982175</v>
      </c>
      <c r="E31" s="162">
        <f t="shared" si="3"/>
        <v>260328.43725382842</v>
      </c>
      <c r="F31" s="161">
        <f t="shared" si="7"/>
        <v>6866045.9207443893</v>
      </c>
      <c r="G31" s="163">
        <f t="shared" si="4"/>
        <v>1082320.3514493585</v>
      </c>
      <c r="H31" s="145">
        <f t="shared" si="5"/>
        <v>1082320.3514493585</v>
      </c>
      <c r="I31" s="158">
        <f t="shared" si="8"/>
        <v>0</v>
      </c>
      <c r="J31" s="158"/>
      <c r="K31" s="316"/>
      <c r="L31" s="160">
        <f t="shared" si="6"/>
        <v>0</v>
      </c>
      <c r="M31" s="316"/>
      <c r="N31" s="160">
        <f t="shared" si="1"/>
        <v>0</v>
      </c>
      <c r="O31" s="160">
        <f t="shared" si="2"/>
        <v>0</v>
      </c>
      <c r="P31" s="4"/>
      <c r="Q31" s="7"/>
      <c r="R31" s="4"/>
      <c r="S31" s="4"/>
      <c r="T31" s="4"/>
      <c r="U31" s="1"/>
    </row>
    <row r="32" spans="2:21">
      <c r="B32" t="str">
        <f t="shared" si="0"/>
        <v/>
      </c>
      <c r="C32" s="155">
        <f>IF(D12="","-",+C31+1)</f>
        <v>2032</v>
      </c>
      <c r="D32" s="164">
        <f>IF(F31+SUM(E$17:E31)=D$10,F31,D$10-SUM(E$17:E31))</f>
        <v>6866045.9207443893</v>
      </c>
      <c r="E32" s="162">
        <f t="shared" si="3"/>
        <v>260328.43725382842</v>
      </c>
      <c r="F32" s="161">
        <f>+D32-E32</f>
        <v>6605717.4834905611</v>
      </c>
      <c r="G32" s="163">
        <f t="shared" si="4"/>
        <v>1051734.09600606</v>
      </c>
      <c r="H32" s="145">
        <f t="shared" si="5"/>
        <v>1051734.09600606</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2033</v>
      </c>
      <c r="D33" s="164">
        <f>IF(F32+SUM(E$17:E32)=D$10,F32,D$10-SUM(E$17:E32))</f>
        <v>6605717.4834905611</v>
      </c>
      <c r="E33" s="162">
        <f t="shared" si="3"/>
        <v>260328.43725382842</v>
      </c>
      <c r="F33" s="161">
        <f>+D33-E33</f>
        <v>6345389.046236733</v>
      </c>
      <c r="G33" s="163">
        <f t="shared" si="4"/>
        <v>1021147.8405627615</v>
      </c>
      <c r="H33" s="145">
        <f t="shared" si="5"/>
        <v>1021147.8405627615</v>
      </c>
      <c r="I33" s="158">
        <f>H33-G33</f>
        <v>0</v>
      </c>
      <c r="J33" s="158"/>
      <c r="K33" s="316"/>
      <c r="L33" s="160">
        <f>IF(K33&lt;&gt;0,+G33-K33,0)</f>
        <v>0</v>
      </c>
      <c r="M33" s="316"/>
      <c r="N33" s="160">
        <f>IF(M33&lt;&gt;0,+H33-M33,0)</f>
        <v>0</v>
      </c>
      <c r="O33" s="160">
        <f>+N33-L33</f>
        <v>0</v>
      </c>
      <c r="P33" s="4"/>
      <c r="R33" s="1"/>
      <c r="S33" s="1"/>
      <c r="T33" s="1"/>
      <c r="U33" s="1"/>
    </row>
    <row r="34" spans="2:21">
      <c r="B34" t="str">
        <f t="shared" si="0"/>
        <v/>
      </c>
      <c r="C34" s="422">
        <f>IF(D11="","-",+C33+1)</f>
        <v>2034</v>
      </c>
      <c r="D34" s="431">
        <f>IF(F33+SUM(E$17:E33)=D$10,F33,D$10-SUM(E$17:E33))</f>
        <v>6345389.046236733</v>
      </c>
      <c r="E34" s="424">
        <f t="shared" si="3"/>
        <v>260328.43725382842</v>
      </c>
      <c r="F34" s="423">
        <f t="shared" si="7"/>
        <v>6085060.6089829048</v>
      </c>
      <c r="G34" s="163">
        <f t="shared" si="4"/>
        <v>990561.58511946304</v>
      </c>
      <c r="H34" s="145">
        <f t="shared" si="5"/>
        <v>990561.58511946304</v>
      </c>
      <c r="I34" s="427">
        <f t="shared" si="8"/>
        <v>0</v>
      </c>
      <c r="J34" s="427"/>
      <c r="K34" s="428"/>
      <c r="L34" s="429">
        <f t="shared" si="6"/>
        <v>0</v>
      </c>
      <c r="M34" s="428"/>
      <c r="N34" s="429">
        <f t="shared" si="1"/>
        <v>0</v>
      </c>
      <c r="O34" s="429">
        <f t="shared" si="2"/>
        <v>0</v>
      </c>
      <c r="P34" s="430"/>
      <c r="Q34" s="290"/>
      <c r="R34" s="430"/>
      <c r="S34" s="430"/>
      <c r="T34" s="430"/>
      <c r="U34" s="1"/>
    </row>
    <row r="35" spans="2:21">
      <c r="B35" t="str">
        <f t="shared" si="0"/>
        <v/>
      </c>
      <c r="C35" s="155">
        <f>IF(D11="","-",+C34+1)</f>
        <v>2035</v>
      </c>
      <c r="D35" s="164">
        <f>IF(F34+SUM(E$17:E34)=D$10,F34,D$10-SUM(E$17:E34))</f>
        <v>6085060.6089829048</v>
      </c>
      <c r="E35" s="162">
        <f t="shared" si="3"/>
        <v>260328.43725382842</v>
      </c>
      <c r="F35" s="161">
        <f t="shared" si="7"/>
        <v>5824732.1717290767</v>
      </c>
      <c r="G35" s="163">
        <f t="shared" si="4"/>
        <v>959975.32967616478</v>
      </c>
      <c r="H35" s="145">
        <f t="shared" si="5"/>
        <v>959975.32967616478</v>
      </c>
      <c r="I35" s="158">
        <f t="shared" si="8"/>
        <v>0</v>
      </c>
      <c r="J35" s="158"/>
      <c r="K35" s="316"/>
      <c r="L35" s="160">
        <f t="shared" si="6"/>
        <v>0</v>
      </c>
      <c r="M35" s="316"/>
      <c r="N35" s="160">
        <f t="shared" si="1"/>
        <v>0</v>
      </c>
      <c r="O35" s="160">
        <f t="shared" si="2"/>
        <v>0</v>
      </c>
      <c r="P35" s="4"/>
      <c r="R35" s="1"/>
      <c r="S35" s="1"/>
      <c r="T35" s="1"/>
      <c r="U35" s="1"/>
    </row>
    <row r="36" spans="2:21">
      <c r="B36" t="str">
        <f t="shared" si="0"/>
        <v/>
      </c>
      <c r="C36" s="155">
        <f>IF(D11="","-",+C35+1)</f>
        <v>2036</v>
      </c>
      <c r="D36" s="164">
        <f>IF(F35+SUM(E$17:E35)=D$10,F35,D$10-SUM(E$17:E35))</f>
        <v>5824732.1717290767</v>
      </c>
      <c r="E36" s="162">
        <f t="shared" si="3"/>
        <v>260328.43725382842</v>
      </c>
      <c r="F36" s="161">
        <f t="shared" si="7"/>
        <v>5564403.7344752485</v>
      </c>
      <c r="G36" s="163">
        <f t="shared" si="4"/>
        <v>929389.07423286617</v>
      </c>
      <c r="H36" s="145">
        <f t="shared" si="5"/>
        <v>929389.07423286617</v>
      </c>
      <c r="I36" s="158">
        <f t="shared" si="8"/>
        <v>0</v>
      </c>
      <c r="J36" s="158"/>
      <c r="K36" s="316"/>
      <c r="L36" s="160">
        <f t="shared" si="6"/>
        <v>0</v>
      </c>
      <c r="M36" s="316"/>
      <c r="N36" s="160">
        <f t="shared" si="1"/>
        <v>0</v>
      </c>
      <c r="O36" s="160">
        <f t="shared" si="2"/>
        <v>0</v>
      </c>
      <c r="P36" s="4"/>
      <c r="R36" s="1"/>
      <c r="S36" s="1"/>
      <c r="T36" s="1"/>
      <c r="U36" s="1"/>
    </row>
    <row r="37" spans="2:21">
      <c r="B37" t="str">
        <f t="shared" si="0"/>
        <v/>
      </c>
      <c r="C37" s="155">
        <f>IF(D11="","-",+C36+1)</f>
        <v>2037</v>
      </c>
      <c r="D37" s="164">
        <f>IF(F36+SUM(E$17:E36)=D$10,F36,D$10-SUM(E$17:E36))</f>
        <v>5564403.7344752485</v>
      </c>
      <c r="E37" s="162">
        <f t="shared" si="3"/>
        <v>260328.43725382842</v>
      </c>
      <c r="F37" s="161">
        <f t="shared" si="7"/>
        <v>5304075.2972214203</v>
      </c>
      <c r="G37" s="163">
        <f t="shared" si="4"/>
        <v>898802.81878956791</v>
      </c>
      <c r="H37" s="145">
        <f t="shared" si="5"/>
        <v>898802.81878956791</v>
      </c>
      <c r="I37" s="158">
        <f t="shared" si="8"/>
        <v>0</v>
      </c>
      <c r="J37" s="158"/>
      <c r="K37" s="316"/>
      <c r="L37" s="160">
        <f t="shared" si="6"/>
        <v>0</v>
      </c>
      <c r="M37" s="316"/>
      <c r="N37" s="160">
        <f t="shared" si="1"/>
        <v>0</v>
      </c>
      <c r="O37" s="160">
        <f t="shared" si="2"/>
        <v>0</v>
      </c>
      <c r="P37" s="4"/>
      <c r="R37" s="1"/>
      <c r="S37" s="1"/>
      <c r="T37" s="1"/>
      <c r="U37" s="1"/>
    </row>
    <row r="38" spans="2:21">
      <c r="B38" t="str">
        <f t="shared" si="0"/>
        <v/>
      </c>
      <c r="C38" s="155">
        <f>IF(D11="","-",+C37+1)</f>
        <v>2038</v>
      </c>
      <c r="D38" s="164">
        <f>IF(F37+SUM(E$17:E37)=D$10,F37,D$10-SUM(E$17:E37))</f>
        <v>5304075.2972214203</v>
      </c>
      <c r="E38" s="162">
        <f t="shared" si="3"/>
        <v>260328.43725382842</v>
      </c>
      <c r="F38" s="161">
        <f t="shared" si="7"/>
        <v>5043746.8599675922</v>
      </c>
      <c r="G38" s="163">
        <f t="shared" si="4"/>
        <v>868216.56334626942</v>
      </c>
      <c r="H38" s="145">
        <f t="shared" si="5"/>
        <v>868216.56334626942</v>
      </c>
      <c r="I38" s="158">
        <f t="shared" si="8"/>
        <v>0</v>
      </c>
      <c r="J38" s="158"/>
      <c r="K38" s="316"/>
      <c r="L38" s="160">
        <f t="shared" si="6"/>
        <v>0</v>
      </c>
      <c r="M38" s="316"/>
      <c r="N38" s="160">
        <f t="shared" si="1"/>
        <v>0</v>
      </c>
      <c r="O38" s="160">
        <f t="shared" si="2"/>
        <v>0</v>
      </c>
      <c r="P38" s="4"/>
      <c r="R38" s="1"/>
      <c r="S38" s="1"/>
      <c r="T38" s="1"/>
      <c r="U38" s="1"/>
    </row>
    <row r="39" spans="2:21">
      <c r="B39" t="str">
        <f t="shared" si="0"/>
        <v/>
      </c>
      <c r="C39" s="155">
        <f>IF(D11="","-",+C38+1)</f>
        <v>2039</v>
      </c>
      <c r="D39" s="164">
        <f>IF(F38+SUM(E$17:E38)=D$10,F38,D$10-SUM(E$17:E38))</f>
        <v>5043746.8599675922</v>
      </c>
      <c r="E39" s="162">
        <f t="shared" si="3"/>
        <v>260328.43725382842</v>
      </c>
      <c r="F39" s="161">
        <f t="shared" si="7"/>
        <v>4783418.422713764</v>
      </c>
      <c r="G39" s="163">
        <f t="shared" si="4"/>
        <v>837630.30790297105</v>
      </c>
      <c r="H39" s="145">
        <f t="shared" si="5"/>
        <v>837630.30790297105</v>
      </c>
      <c r="I39" s="158">
        <f t="shared" si="8"/>
        <v>0</v>
      </c>
      <c r="J39" s="158"/>
      <c r="K39" s="316"/>
      <c r="L39" s="160">
        <f t="shared" si="6"/>
        <v>0</v>
      </c>
      <c r="M39" s="316"/>
      <c r="N39" s="160">
        <f t="shared" si="1"/>
        <v>0</v>
      </c>
      <c r="O39" s="160">
        <f t="shared" si="2"/>
        <v>0</v>
      </c>
      <c r="P39" s="4"/>
      <c r="R39" s="1"/>
      <c r="S39" s="1"/>
      <c r="T39" s="1"/>
      <c r="U39" s="1"/>
    </row>
    <row r="40" spans="2:21">
      <c r="B40" t="str">
        <f t="shared" si="0"/>
        <v/>
      </c>
      <c r="C40" s="155">
        <f>IF(D11="","-",+C39+1)</f>
        <v>2040</v>
      </c>
      <c r="D40" s="164">
        <f>IF(F39+SUM(E$17:E39)=D$10,F39,D$10-SUM(E$17:E39))</f>
        <v>4783418.422713764</v>
      </c>
      <c r="E40" s="162">
        <f t="shared" si="3"/>
        <v>260328.43725382842</v>
      </c>
      <c r="F40" s="161">
        <f t="shared" si="7"/>
        <v>4523089.9854599359</v>
      </c>
      <c r="G40" s="163">
        <f t="shared" si="4"/>
        <v>807044.05245967256</v>
      </c>
      <c r="H40" s="145">
        <f t="shared" si="5"/>
        <v>807044.05245967256</v>
      </c>
      <c r="I40" s="158">
        <f t="shared" si="8"/>
        <v>0</v>
      </c>
      <c r="J40" s="158"/>
      <c r="K40" s="316"/>
      <c r="L40" s="160">
        <f t="shared" si="6"/>
        <v>0</v>
      </c>
      <c r="M40" s="316"/>
      <c r="N40" s="160">
        <f t="shared" si="1"/>
        <v>0</v>
      </c>
      <c r="O40" s="160">
        <f t="shared" si="2"/>
        <v>0</v>
      </c>
      <c r="P40" s="4"/>
      <c r="R40" s="1"/>
      <c r="S40" s="1"/>
      <c r="T40" s="1"/>
      <c r="U40" s="1"/>
    </row>
    <row r="41" spans="2:21">
      <c r="B41" t="str">
        <f t="shared" si="0"/>
        <v/>
      </c>
      <c r="C41" s="155">
        <f>IF(D12="","-",+C40+1)</f>
        <v>2041</v>
      </c>
      <c r="D41" s="164">
        <f>IF(F40+SUM(E$17:E40)=D$10,F40,D$10-SUM(E$17:E40))</f>
        <v>4523089.9854599359</v>
      </c>
      <c r="E41" s="162">
        <f t="shared" ref="E41:E73" si="9">IF(+I$14&lt;F40,I$14,D41)</f>
        <v>260328.43725382842</v>
      </c>
      <c r="F41" s="161">
        <f>+D41-E41</f>
        <v>4262761.5482061077</v>
      </c>
      <c r="G41" s="163">
        <f t="shared" si="4"/>
        <v>776457.7970163743</v>
      </c>
      <c r="H41" s="145">
        <f t="shared" si="5"/>
        <v>776457.7970163743</v>
      </c>
      <c r="I41" s="158">
        <f>H41-G41</f>
        <v>0</v>
      </c>
      <c r="J41" s="158"/>
      <c r="K41" s="316"/>
      <c r="L41" s="160">
        <f>IF(K41&lt;&gt;0,+G41-K41,0)</f>
        <v>0</v>
      </c>
      <c r="M41" s="316"/>
      <c r="N41" s="160">
        <f>IF(M41&lt;&gt;0,+H41-M41,0)</f>
        <v>0</v>
      </c>
      <c r="O41" s="160">
        <f>+N41-L41</f>
        <v>0</v>
      </c>
      <c r="P41" s="4"/>
      <c r="R41" s="1"/>
      <c r="S41" s="1"/>
      <c r="T41" s="1"/>
      <c r="U41" s="1"/>
    </row>
    <row r="42" spans="2:21">
      <c r="B42" t="str">
        <f t="shared" si="0"/>
        <v/>
      </c>
      <c r="C42" s="155">
        <f>IF(D13="","-",+C41+1)</f>
        <v>2042</v>
      </c>
      <c r="D42" s="164">
        <f>IF(F41+SUM(E$17:E41)=D$10,F41,D$10-SUM(E$17:E41))</f>
        <v>4262761.5482061077</v>
      </c>
      <c r="E42" s="162">
        <f t="shared" si="9"/>
        <v>260328.43725382842</v>
      </c>
      <c r="F42" s="161">
        <f>+D42-E42</f>
        <v>4002433.1109522791</v>
      </c>
      <c r="G42" s="163">
        <f t="shared" si="4"/>
        <v>745871.54157307569</v>
      </c>
      <c r="H42" s="145">
        <f t="shared" si="5"/>
        <v>745871.54157307569</v>
      </c>
      <c r="I42" s="158">
        <f>H42-G42</f>
        <v>0</v>
      </c>
      <c r="J42" s="158"/>
      <c r="K42" s="316"/>
      <c r="L42" s="160">
        <f>IF(K42&lt;&gt;0,+G42-K42,0)</f>
        <v>0</v>
      </c>
      <c r="M42" s="316"/>
      <c r="N42" s="160">
        <f>IF(M42&lt;&gt;0,+H42-M42,0)</f>
        <v>0</v>
      </c>
      <c r="O42" s="160">
        <f>+N42-L42</f>
        <v>0</v>
      </c>
      <c r="P42" s="4"/>
      <c r="R42" s="1"/>
      <c r="S42" s="1"/>
      <c r="T42" s="1"/>
      <c r="U42" s="1"/>
    </row>
    <row r="43" spans="2:21">
      <c r="B43" t="str">
        <f t="shared" si="0"/>
        <v/>
      </c>
      <c r="C43" s="155">
        <f>IF(D14="","-",+C42+1)</f>
        <v>2043</v>
      </c>
      <c r="D43" s="164">
        <f>IF(F42+SUM(E$17:E42)=D$10,F42,D$10-SUM(E$17:E42))</f>
        <v>4002433.1109522791</v>
      </c>
      <c r="E43" s="162">
        <f t="shared" si="9"/>
        <v>260328.43725382842</v>
      </c>
      <c r="F43" s="161">
        <f>+D43-E43</f>
        <v>3742104.6736984504</v>
      </c>
      <c r="G43" s="163">
        <f t="shared" si="4"/>
        <v>715285.28612977732</v>
      </c>
      <c r="H43" s="145">
        <f t="shared" si="5"/>
        <v>715285.28612977732</v>
      </c>
      <c r="I43" s="158">
        <f>H43-G43</f>
        <v>0</v>
      </c>
      <c r="J43" s="158"/>
      <c r="K43" s="316"/>
      <c r="L43" s="160">
        <f>IF(K43&lt;&gt;0,+G43-K43,0)</f>
        <v>0</v>
      </c>
      <c r="M43" s="316"/>
      <c r="N43" s="160">
        <f>IF(M43&lt;&gt;0,+H43-M43,0)</f>
        <v>0</v>
      </c>
      <c r="O43" s="160">
        <f>+N43-L43</f>
        <v>0</v>
      </c>
      <c r="P43" s="4"/>
      <c r="R43" s="1"/>
      <c r="S43" s="1"/>
      <c r="T43" s="1"/>
      <c r="U43" s="1"/>
    </row>
    <row r="44" spans="2:21">
      <c r="B44" t="str">
        <f t="shared" si="0"/>
        <v/>
      </c>
      <c r="C44" s="155">
        <f>IF(D11="","-",+C43+1)</f>
        <v>2044</v>
      </c>
      <c r="D44" s="164">
        <f>IF(F43+SUM(E$17:E43)=D$10,F43,D$10-SUM(E$17:E43))</f>
        <v>3742104.6736984504</v>
      </c>
      <c r="E44" s="162">
        <f t="shared" si="9"/>
        <v>260328.43725382842</v>
      </c>
      <c r="F44" s="161">
        <f t="shared" si="7"/>
        <v>3481776.2364446218</v>
      </c>
      <c r="G44" s="163">
        <f t="shared" si="4"/>
        <v>684699.03068647871</v>
      </c>
      <c r="H44" s="145">
        <f t="shared" si="5"/>
        <v>684699.03068647871</v>
      </c>
      <c r="I44" s="158">
        <f t="shared" si="8"/>
        <v>0</v>
      </c>
      <c r="J44" s="158"/>
      <c r="K44" s="316"/>
      <c r="L44" s="160">
        <f t="shared" si="6"/>
        <v>0</v>
      </c>
      <c r="M44" s="316"/>
      <c r="N44" s="160">
        <f t="shared" si="1"/>
        <v>0</v>
      </c>
      <c r="O44" s="160">
        <f t="shared" si="2"/>
        <v>0</v>
      </c>
      <c r="P44" s="4"/>
      <c r="R44" s="1"/>
      <c r="S44" s="1"/>
      <c r="T44" s="1"/>
      <c r="U44" s="1"/>
    </row>
    <row r="45" spans="2:21">
      <c r="B45" t="str">
        <f t="shared" si="0"/>
        <v/>
      </c>
      <c r="C45" s="155">
        <f>IF(D11="","-",+C44+1)</f>
        <v>2045</v>
      </c>
      <c r="D45" s="164">
        <f>IF(F44+SUM(E$17:E44)=D$10,F44,D$10-SUM(E$17:E44))</f>
        <v>3481776.2364446218</v>
      </c>
      <c r="E45" s="162">
        <f t="shared" si="9"/>
        <v>260328.43725382842</v>
      </c>
      <c r="F45" s="161">
        <f t="shared" si="7"/>
        <v>3221447.7991907932</v>
      </c>
      <c r="G45" s="163">
        <f t="shared" si="4"/>
        <v>654112.77524318034</v>
      </c>
      <c r="H45" s="145">
        <f t="shared" si="5"/>
        <v>654112.77524318034</v>
      </c>
      <c r="I45" s="158">
        <f t="shared" si="8"/>
        <v>0</v>
      </c>
      <c r="J45" s="158"/>
      <c r="K45" s="316"/>
      <c r="L45" s="160">
        <f t="shared" si="6"/>
        <v>0</v>
      </c>
      <c r="M45" s="316"/>
      <c r="N45" s="160">
        <f t="shared" si="1"/>
        <v>0</v>
      </c>
      <c r="O45" s="160">
        <f t="shared" si="2"/>
        <v>0</v>
      </c>
      <c r="P45" s="4"/>
      <c r="R45" s="1"/>
      <c r="S45" s="1"/>
      <c r="T45" s="1"/>
      <c r="U45" s="1"/>
    </row>
    <row r="46" spans="2:21">
      <c r="B46" t="str">
        <f t="shared" si="0"/>
        <v/>
      </c>
      <c r="C46" s="155">
        <f>IF(D11="","-",+C45+1)</f>
        <v>2046</v>
      </c>
      <c r="D46" s="164">
        <f>IF(F45+SUM(E$17:E45)=D$10,F45,D$10-SUM(E$17:E45))</f>
        <v>3221447.7991907932</v>
      </c>
      <c r="E46" s="162">
        <f t="shared" si="9"/>
        <v>260328.43725382842</v>
      </c>
      <c r="F46" s="161">
        <f t="shared" si="7"/>
        <v>2961119.3619369646</v>
      </c>
      <c r="G46" s="163">
        <f t="shared" si="4"/>
        <v>623526.51979988185</v>
      </c>
      <c r="H46" s="145">
        <f t="shared" si="5"/>
        <v>623526.51979988185</v>
      </c>
      <c r="I46" s="158">
        <f t="shared" si="8"/>
        <v>0</v>
      </c>
      <c r="J46" s="158"/>
      <c r="K46" s="316"/>
      <c r="L46" s="160">
        <f t="shared" si="6"/>
        <v>0</v>
      </c>
      <c r="M46" s="316"/>
      <c r="N46" s="160">
        <f t="shared" si="1"/>
        <v>0</v>
      </c>
      <c r="O46" s="160">
        <f t="shared" si="2"/>
        <v>0</v>
      </c>
      <c r="P46" s="4"/>
      <c r="R46" s="1"/>
      <c r="S46" s="1"/>
      <c r="T46" s="1"/>
      <c r="U46" s="1"/>
    </row>
    <row r="47" spans="2:21">
      <c r="B47" t="str">
        <f t="shared" si="0"/>
        <v/>
      </c>
      <c r="C47" s="155">
        <f>IF(D11="","-",+C46+1)</f>
        <v>2047</v>
      </c>
      <c r="D47" s="164">
        <f>IF(F46+SUM(E$17:E46)=D$10,F46,D$10-SUM(E$17:E46))</f>
        <v>2961119.3619369646</v>
      </c>
      <c r="E47" s="162">
        <f t="shared" si="9"/>
        <v>260328.43725382842</v>
      </c>
      <c r="F47" s="161">
        <f t="shared" si="7"/>
        <v>2700790.9246831359</v>
      </c>
      <c r="G47" s="163">
        <f t="shared" si="4"/>
        <v>592940.26435658336</v>
      </c>
      <c r="H47" s="145">
        <f t="shared" si="5"/>
        <v>592940.26435658336</v>
      </c>
      <c r="I47" s="158">
        <f t="shared" si="8"/>
        <v>0</v>
      </c>
      <c r="J47" s="158"/>
      <c r="K47" s="316"/>
      <c r="L47" s="160">
        <f t="shared" si="6"/>
        <v>0</v>
      </c>
      <c r="M47" s="316"/>
      <c r="N47" s="160">
        <f t="shared" si="1"/>
        <v>0</v>
      </c>
      <c r="O47" s="160">
        <f t="shared" si="2"/>
        <v>0</v>
      </c>
      <c r="P47" s="4"/>
      <c r="R47" s="1"/>
      <c r="S47" s="1"/>
      <c r="T47" s="1"/>
      <c r="U47" s="1"/>
    </row>
    <row r="48" spans="2:21">
      <c r="B48" t="str">
        <f t="shared" si="0"/>
        <v/>
      </c>
      <c r="C48" s="155">
        <f>IF(D11="","-",+C47+1)</f>
        <v>2048</v>
      </c>
      <c r="D48" s="164">
        <f>IF(F47+SUM(E$17:E47)=D$10,F47,D$10-SUM(E$17:E47))</f>
        <v>2700790.9246831359</v>
      </c>
      <c r="E48" s="162">
        <f t="shared" si="9"/>
        <v>260328.43725382842</v>
      </c>
      <c r="F48" s="161">
        <f t="shared" si="7"/>
        <v>2440462.4874293073</v>
      </c>
      <c r="G48" s="163">
        <f t="shared" si="4"/>
        <v>562354.00891328487</v>
      </c>
      <c r="H48" s="145">
        <f t="shared" si="5"/>
        <v>562354.00891328487</v>
      </c>
      <c r="I48" s="158">
        <f t="shared" si="8"/>
        <v>0</v>
      </c>
      <c r="J48" s="158"/>
      <c r="K48" s="316"/>
      <c r="L48" s="160">
        <f t="shared" si="6"/>
        <v>0</v>
      </c>
      <c r="M48" s="316"/>
      <c r="N48" s="160">
        <f t="shared" si="1"/>
        <v>0</v>
      </c>
      <c r="O48" s="160">
        <f t="shared" si="2"/>
        <v>0</v>
      </c>
      <c r="P48" s="4"/>
      <c r="R48" s="1"/>
      <c r="S48" s="1"/>
      <c r="T48" s="1"/>
      <c r="U48" s="1"/>
    </row>
    <row r="49" spans="2:21">
      <c r="B49" t="str">
        <f t="shared" si="0"/>
        <v/>
      </c>
      <c r="C49" s="155">
        <f>IF(D11="","-",+C48+1)</f>
        <v>2049</v>
      </c>
      <c r="D49" s="164">
        <f>IF(F48+SUM(E$17:E48)=D$10,F48,D$10-SUM(E$17:E48))</f>
        <v>2440462.4874293073</v>
      </c>
      <c r="E49" s="162">
        <f t="shared" si="9"/>
        <v>260328.43725382842</v>
      </c>
      <c r="F49" s="161">
        <f t="shared" si="7"/>
        <v>2180134.0501754787</v>
      </c>
      <c r="G49" s="163">
        <f t="shared" si="4"/>
        <v>531767.75346998649</v>
      </c>
      <c r="H49" s="145">
        <f t="shared" si="5"/>
        <v>531767.75346998649</v>
      </c>
      <c r="I49" s="158">
        <f t="shared" si="8"/>
        <v>0</v>
      </c>
      <c r="J49" s="158"/>
      <c r="K49" s="316"/>
      <c r="L49" s="160">
        <f t="shared" si="6"/>
        <v>0</v>
      </c>
      <c r="M49" s="316"/>
      <c r="N49" s="160">
        <f t="shared" si="1"/>
        <v>0</v>
      </c>
      <c r="O49" s="160">
        <f t="shared" si="2"/>
        <v>0</v>
      </c>
      <c r="P49" s="4"/>
      <c r="R49" s="1"/>
      <c r="S49" s="1"/>
      <c r="T49" s="1"/>
      <c r="U49" s="1"/>
    </row>
    <row r="50" spans="2:21">
      <c r="B50" t="str">
        <f t="shared" si="0"/>
        <v/>
      </c>
      <c r="C50" s="155">
        <f>IF(D11="","-",+C49+1)</f>
        <v>2050</v>
      </c>
      <c r="D50" s="164">
        <f>IF(F49+SUM(E$17:E49)=D$10,F49,D$10-SUM(E$17:E49))</f>
        <v>2180134.0501754787</v>
      </c>
      <c r="E50" s="162">
        <f t="shared" si="9"/>
        <v>260328.43725382842</v>
      </c>
      <c r="F50" s="161">
        <f t="shared" si="7"/>
        <v>1919805.6129216503</v>
      </c>
      <c r="G50" s="163">
        <f t="shared" si="4"/>
        <v>501181.498026688</v>
      </c>
      <c r="H50" s="145">
        <f t="shared" si="5"/>
        <v>501181.498026688</v>
      </c>
      <c r="I50" s="158">
        <f t="shared" si="8"/>
        <v>0</v>
      </c>
      <c r="J50" s="158"/>
      <c r="K50" s="316"/>
      <c r="L50" s="160">
        <f t="shared" si="6"/>
        <v>0</v>
      </c>
      <c r="M50" s="316"/>
      <c r="N50" s="160">
        <f t="shared" si="1"/>
        <v>0</v>
      </c>
      <c r="O50" s="160">
        <f t="shared" si="2"/>
        <v>0</v>
      </c>
      <c r="P50" s="4"/>
      <c r="R50" s="1"/>
      <c r="S50" s="1"/>
      <c r="T50" s="1"/>
      <c r="U50" s="1"/>
    </row>
    <row r="51" spans="2:21">
      <c r="B51" t="str">
        <f t="shared" si="0"/>
        <v/>
      </c>
      <c r="C51" s="155">
        <f>IF(D11="","-",+C50+1)</f>
        <v>2051</v>
      </c>
      <c r="D51" s="164">
        <f>IF(F50+SUM(E$17:E50)=D$10,F50,D$10-SUM(E$17:E50))</f>
        <v>1919805.6129216503</v>
      </c>
      <c r="E51" s="162">
        <f t="shared" si="9"/>
        <v>260328.43725382842</v>
      </c>
      <c r="F51" s="161">
        <f t="shared" si="7"/>
        <v>1659477.1756678219</v>
      </c>
      <c r="G51" s="163">
        <f t="shared" si="4"/>
        <v>470595.24258338951</v>
      </c>
      <c r="H51" s="145">
        <f t="shared" si="5"/>
        <v>470595.24258338951</v>
      </c>
      <c r="I51" s="158">
        <f t="shared" si="8"/>
        <v>0</v>
      </c>
      <c r="J51" s="158"/>
      <c r="K51" s="316"/>
      <c r="L51" s="160">
        <f t="shared" si="6"/>
        <v>0</v>
      </c>
      <c r="M51" s="316"/>
      <c r="N51" s="160">
        <f t="shared" si="1"/>
        <v>0</v>
      </c>
      <c r="O51" s="160">
        <f t="shared" si="2"/>
        <v>0</v>
      </c>
      <c r="P51" s="4"/>
      <c r="R51" s="1"/>
      <c r="S51" s="1"/>
      <c r="T51" s="1"/>
      <c r="U51" s="1"/>
    </row>
    <row r="52" spans="2:21">
      <c r="B52" t="str">
        <f t="shared" si="0"/>
        <v/>
      </c>
      <c r="C52" s="155">
        <f>IF(D11="","-",+C51+1)</f>
        <v>2052</v>
      </c>
      <c r="D52" s="164">
        <f>IF(F51+SUM(E$17:E51)=D$10,F51,D$10-SUM(E$17:E51))</f>
        <v>1659477.1756678219</v>
      </c>
      <c r="E52" s="162">
        <f t="shared" si="9"/>
        <v>260328.43725382842</v>
      </c>
      <c r="F52" s="161">
        <f t="shared" si="7"/>
        <v>1399148.7384139935</v>
      </c>
      <c r="G52" s="163">
        <f t="shared" si="4"/>
        <v>440008.98714009108</v>
      </c>
      <c r="H52" s="145">
        <f t="shared" si="5"/>
        <v>440008.98714009108</v>
      </c>
      <c r="I52" s="158">
        <f t="shared" si="8"/>
        <v>0</v>
      </c>
      <c r="J52" s="158"/>
      <c r="K52" s="316"/>
      <c r="L52" s="160">
        <f t="shared" si="6"/>
        <v>0</v>
      </c>
      <c r="M52" s="316"/>
      <c r="N52" s="160">
        <f t="shared" si="1"/>
        <v>0</v>
      </c>
      <c r="O52" s="160">
        <f t="shared" si="2"/>
        <v>0</v>
      </c>
      <c r="P52" s="4"/>
      <c r="R52" s="1"/>
      <c r="S52" s="1"/>
      <c r="T52" s="1"/>
      <c r="U52" s="1"/>
    </row>
    <row r="53" spans="2:21">
      <c r="B53" t="str">
        <f t="shared" si="0"/>
        <v/>
      </c>
      <c r="C53" s="155">
        <f>IF(D11="","-",+C52+1)</f>
        <v>2053</v>
      </c>
      <c r="D53" s="164">
        <f>IF(F52+SUM(E$17:E52)=D$10,F52,D$10-SUM(E$17:E52))</f>
        <v>1399148.7384139935</v>
      </c>
      <c r="E53" s="162">
        <f t="shared" si="9"/>
        <v>260328.43725382842</v>
      </c>
      <c r="F53" s="161">
        <f t="shared" si="7"/>
        <v>1138820.3011601651</v>
      </c>
      <c r="G53" s="163">
        <f t="shared" si="4"/>
        <v>409422.73169679265</v>
      </c>
      <c r="H53" s="145">
        <f t="shared" si="5"/>
        <v>409422.73169679265</v>
      </c>
      <c r="I53" s="158">
        <f t="shared" si="8"/>
        <v>0</v>
      </c>
      <c r="J53" s="158"/>
      <c r="K53" s="316"/>
      <c r="L53" s="160">
        <f t="shared" si="6"/>
        <v>0</v>
      </c>
      <c r="M53" s="316"/>
      <c r="N53" s="160">
        <f t="shared" si="1"/>
        <v>0</v>
      </c>
      <c r="O53" s="160">
        <f t="shared" si="2"/>
        <v>0</v>
      </c>
      <c r="P53" s="4"/>
      <c r="R53" s="1"/>
      <c r="S53" s="1"/>
      <c r="T53" s="1"/>
      <c r="U53" s="1"/>
    </row>
    <row r="54" spans="2:21">
      <c r="B54" t="str">
        <f t="shared" si="0"/>
        <v/>
      </c>
      <c r="C54" s="155">
        <f>IF(D11="","-",+C53+1)</f>
        <v>2054</v>
      </c>
      <c r="D54" s="164">
        <f>IF(F53+SUM(E$17:E53)=D$10,F53,D$10-SUM(E$17:E53))</f>
        <v>1138820.3011601651</v>
      </c>
      <c r="E54" s="162">
        <f t="shared" si="9"/>
        <v>260328.43725382842</v>
      </c>
      <c r="F54" s="161">
        <f t="shared" si="7"/>
        <v>878491.86390633672</v>
      </c>
      <c r="G54" s="163">
        <f t="shared" si="4"/>
        <v>378836.47625349415</v>
      </c>
      <c r="H54" s="145">
        <f t="shared" si="5"/>
        <v>378836.47625349415</v>
      </c>
      <c r="I54" s="158">
        <f t="shared" si="8"/>
        <v>0</v>
      </c>
      <c r="J54" s="158"/>
      <c r="K54" s="316"/>
      <c r="L54" s="160">
        <f t="shared" si="6"/>
        <v>0</v>
      </c>
      <c r="M54" s="316"/>
      <c r="N54" s="160">
        <f t="shared" si="1"/>
        <v>0</v>
      </c>
      <c r="O54" s="160">
        <f t="shared" si="2"/>
        <v>0</v>
      </c>
      <c r="P54" s="4"/>
      <c r="R54" s="1"/>
      <c r="S54" s="1"/>
      <c r="T54" s="1"/>
      <c r="U54" s="1"/>
    </row>
    <row r="55" spans="2:21">
      <c r="B55" t="str">
        <f t="shared" si="0"/>
        <v/>
      </c>
      <c r="C55" s="155">
        <f>IF(D11="","-",+C54+1)</f>
        <v>2055</v>
      </c>
      <c r="D55" s="164">
        <f>IF(F54+SUM(E$17:E54)=D$10,F54,D$10-SUM(E$17:E54))</f>
        <v>878491.86390633672</v>
      </c>
      <c r="E55" s="162">
        <f t="shared" si="9"/>
        <v>260328.43725382842</v>
      </c>
      <c r="F55" s="161">
        <f t="shared" si="7"/>
        <v>618163.42665250832</v>
      </c>
      <c r="G55" s="163">
        <f t="shared" si="4"/>
        <v>348250.22081019572</v>
      </c>
      <c r="H55" s="145">
        <f t="shared" si="5"/>
        <v>348250.22081019572</v>
      </c>
      <c r="I55" s="158">
        <f t="shared" si="8"/>
        <v>0</v>
      </c>
      <c r="J55" s="158"/>
      <c r="K55" s="316"/>
      <c r="L55" s="160">
        <f t="shared" si="6"/>
        <v>0</v>
      </c>
      <c r="M55" s="316"/>
      <c r="N55" s="160">
        <f t="shared" si="1"/>
        <v>0</v>
      </c>
      <c r="O55" s="160">
        <f t="shared" si="2"/>
        <v>0</v>
      </c>
      <c r="P55" s="4"/>
      <c r="R55" s="1"/>
      <c r="S55" s="1"/>
      <c r="T55" s="1"/>
      <c r="U55" s="1"/>
    </row>
    <row r="56" spans="2:21">
      <c r="B56" t="str">
        <f t="shared" si="0"/>
        <v/>
      </c>
      <c r="C56" s="155">
        <f>IF(D11="","-",+C55+1)</f>
        <v>2056</v>
      </c>
      <c r="D56" s="164">
        <f>IF(F55+SUM(E$17:E55)=D$10,F55,D$10-SUM(E$17:E55))</f>
        <v>618163.42665250832</v>
      </c>
      <c r="E56" s="162">
        <f t="shared" si="9"/>
        <v>260328.43725382842</v>
      </c>
      <c r="F56" s="161">
        <f t="shared" si="7"/>
        <v>357834.98939867993</v>
      </c>
      <c r="G56" s="163">
        <f t="shared" si="4"/>
        <v>317663.96536689729</v>
      </c>
      <c r="H56" s="145">
        <f t="shared" si="5"/>
        <v>317663.96536689729</v>
      </c>
      <c r="I56" s="158">
        <f t="shared" si="8"/>
        <v>0</v>
      </c>
      <c r="J56" s="158"/>
      <c r="K56" s="316"/>
      <c r="L56" s="160">
        <f t="shared" si="6"/>
        <v>0</v>
      </c>
      <c r="M56" s="316"/>
      <c r="N56" s="160">
        <f t="shared" si="1"/>
        <v>0</v>
      </c>
      <c r="O56" s="160">
        <f t="shared" si="2"/>
        <v>0</v>
      </c>
      <c r="P56" s="4"/>
      <c r="R56" s="1"/>
      <c r="S56" s="1"/>
      <c r="T56" s="1"/>
      <c r="U56" s="1"/>
    </row>
    <row r="57" spans="2:21">
      <c r="B57" t="str">
        <f t="shared" si="0"/>
        <v/>
      </c>
      <c r="C57" s="155">
        <f>IF(D11="","-",+C56+1)</f>
        <v>2057</v>
      </c>
      <c r="D57" s="164">
        <f>IF(F56+SUM(E$17:E56)=D$10,F56,D$10-SUM(E$17:E56))</f>
        <v>357834.98939867993</v>
      </c>
      <c r="E57" s="162">
        <f t="shared" si="9"/>
        <v>260328.43725382842</v>
      </c>
      <c r="F57" s="161">
        <f t="shared" si="7"/>
        <v>97506.552144851506</v>
      </c>
      <c r="G57" s="163">
        <f t="shared" si="4"/>
        <v>287077.70992359886</v>
      </c>
      <c r="H57" s="145">
        <f t="shared" si="5"/>
        <v>287077.70992359886</v>
      </c>
      <c r="I57" s="158">
        <f t="shared" si="8"/>
        <v>0</v>
      </c>
      <c r="J57" s="158"/>
      <c r="K57" s="316"/>
      <c r="L57" s="160">
        <f t="shared" si="6"/>
        <v>0</v>
      </c>
      <c r="M57" s="316"/>
      <c r="N57" s="160">
        <f t="shared" si="1"/>
        <v>0</v>
      </c>
      <c r="O57" s="160">
        <f t="shared" si="2"/>
        <v>0</v>
      </c>
      <c r="P57" s="4"/>
      <c r="R57" s="1"/>
      <c r="S57" s="1"/>
      <c r="T57" s="1"/>
      <c r="U57" s="1"/>
    </row>
    <row r="58" spans="2:21">
      <c r="B58" t="str">
        <f t="shared" si="0"/>
        <v/>
      </c>
      <c r="C58" s="155">
        <f>IF(D11="","-",+C57+1)</f>
        <v>2058</v>
      </c>
      <c r="D58" s="164">
        <f>IF(F57+SUM(E$17:E57)=D$10,F57,D$10-SUM(E$17:E57))</f>
        <v>97506.552144851506</v>
      </c>
      <c r="E58" s="162">
        <f t="shared" si="9"/>
        <v>97506.552144851506</v>
      </c>
      <c r="F58" s="161">
        <f t="shared" si="7"/>
        <v>0</v>
      </c>
      <c r="G58" s="163">
        <f t="shared" si="4"/>
        <v>103234.6246189121</v>
      </c>
      <c r="H58" s="145">
        <f t="shared" si="5"/>
        <v>103234.6246189121</v>
      </c>
      <c r="I58" s="158">
        <f t="shared" si="8"/>
        <v>0</v>
      </c>
      <c r="J58" s="158"/>
      <c r="K58" s="316"/>
      <c r="L58" s="160">
        <f t="shared" si="6"/>
        <v>0</v>
      </c>
      <c r="M58" s="316"/>
      <c r="N58" s="160">
        <f t="shared" si="1"/>
        <v>0</v>
      </c>
      <c r="O58" s="160">
        <f t="shared" si="2"/>
        <v>0</v>
      </c>
      <c r="P58" s="4"/>
      <c r="R58" s="1"/>
      <c r="S58" s="1"/>
      <c r="T58" s="1"/>
      <c r="U58" s="1"/>
    </row>
    <row r="59" spans="2:21">
      <c r="B59" t="str">
        <f t="shared" si="0"/>
        <v/>
      </c>
      <c r="C59" s="155">
        <f>IF(D11="","-",+C58+1)</f>
        <v>2059</v>
      </c>
      <c r="D59" s="164">
        <f>IF(F58+SUM(E$17:E58)=D$10,F58,D$10-SUM(E$17:E58))</f>
        <v>0</v>
      </c>
      <c r="E59" s="162">
        <f t="shared" si="9"/>
        <v>0</v>
      </c>
      <c r="F59" s="161">
        <f t="shared" si="7"/>
        <v>0</v>
      </c>
      <c r="G59" s="163">
        <f t="shared" si="4"/>
        <v>0</v>
      </c>
      <c r="H59" s="145">
        <f t="shared" si="5"/>
        <v>0</v>
      </c>
      <c r="I59" s="158">
        <f t="shared" si="8"/>
        <v>0</v>
      </c>
      <c r="J59" s="158"/>
      <c r="K59" s="316"/>
      <c r="L59" s="160">
        <f t="shared" si="6"/>
        <v>0</v>
      </c>
      <c r="M59" s="316"/>
      <c r="N59" s="160">
        <f t="shared" si="1"/>
        <v>0</v>
      </c>
      <c r="O59" s="160">
        <f t="shared" si="2"/>
        <v>0</v>
      </c>
      <c r="P59" s="4"/>
      <c r="R59" s="1"/>
      <c r="S59" s="1"/>
      <c r="T59" s="1"/>
      <c r="U59" s="1"/>
    </row>
    <row r="60" spans="2:21">
      <c r="B60" t="str">
        <f t="shared" si="0"/>
        <v/>
      </c>
      <c r="C60" s="155">
        <f>IF(D11="","-",+C59+1)</f>
        <v>2060</v>
      </c>
      <c r="D60" s="164">
        <f>IF(F59+SUM(E$17:E59)=D$10,F59,D$10-SUM(E$17:E59))</f>
        <v>0</v>
      </c>
      <c r="E60" s="162">
        <f t="shared" si="9"/>
        <v>0</v>
      </c>
      <c r="F60" s="161">
        <f t="shared" si="7"/>
        <v>0</v>
      </c>
      <c r="G60" s="163">
        <f t="shared" si="4"/>
        <v>0</v>
      </c>
      <c r="H60" s="145">
        <f t="shared" si="5"/>
        <v>0</v>
      </c>
      <c r="I60" s="158">
        <f t="shared" si="8"/>
        <v>0</v>
      </c>
      <c r="J60" s="158"/>
      <c r="K60" s="316"/>
      <c r="L60" s="160">
        <f t="shared" si="6"/>
        <v>0</v>
      </c>
      <c r="M60" s="316"/>
      <c r="N60" s="160">
        <f t="shared" si="1"/>
        <v>0</v>
      </c>
      <c r="O60" s="160">
        <f t="shared" si="2"/>
        <v>0</v>
      </c>
      <c r="P60" s="4"/>
      <c r="R60" s="1"/>
      <c r="S60" s="1"/>
      <c r="T60" s="1"/>
      <c r="U60" s="1"/>
    </row>
    <row r="61" spans="2:21">
      <c r="B61" t="str">
        <f t="shared" si="0"/>
        <v/>
      </c>
      <c r="C61" s="155">
        <f>IF(D11="","-",+C60+1)</f>
        <v>2061</v>
      </c>
      <c r="D61" s="164">
        <f>IF(F60+SUM(E$17:E60)=D$10,F60,D$10-SUM(E$17:E60))</f>
        <v>0</v>
      </c>
      <c r="E61" s="162">
        <f t="shared" si="9"/>
        <v>0</v>
      </c>
      <c r="F61" s="161">
        <f t="shared" si="7"/>
        <v>0</v>
      </c>
      <c r="G61" s="163">
        <f t="shared" si="4"/>
        <v>0</v>
      </c>
      <c r="H61" s="145">
        <f t="shared" si="5"/>
        <v>0</v>
      </c>
      <c r="I61" s="158">
        <f t="shared" si="8"/>
        <v>0</v>
      </c>
      <c r="J61" s="158"/>
      <c r="K61" s="316"/>
      <c r="L61" s="160">
        <f t="shared" si="6"/>
        <v>0</v>
      </c>
      <c r="M61" s="316"/>
      <c r="N61" s="160">
        <f t="shared" si="1"/>
        <v>0</v>
      </c>
      <c r="O61" s="160">
        <f t="shared" si="2"/>
        <v>0</v>
      </c>
      <c r="P61" s="4"/>
      <c r="R61" s="1"/>
      <c r="S61" s="1"/>
      <c r="T61" s="1"/>
      <c r="U61" s="1"/>
    </row>
    <row r="62" spans="2:21">
      <c r="B62" t="str">
        <f t="shared" si="0"/>
        <v/>
      </c>
      <c r="C62" s="155">
        <f>IF(D11="","-",+C61+1)</f>
        <v>2062</v>
      </c>
      <c r="D62" s="164">
        <f>IF(F61+SUM(E$17:E61)=D$10,F61,D$10-SUM(E$17:E61))</f>
        <v>0</v>
      </c>
      <c r="E62" s="162">
        <f t="shared" si="9"/>
        <v>0</v>
      </c>
      <c r="F62" s="161">
        <f t="shared" si="7"/>
        <v>0</v>
      </c>
      <c r="G62" s="163">
        <f t="shared" si="4"/>
        <v>0</v>
      </c>
      <c r="H62" s="145">
        <f t="shared" si="5"/>
        <v>0</v>
      </c>
      <c r="I62" s="158">
        <f t="shared" si="8"/>
        <v>0</v>
      </c>
      <c r="J62" s="158"/>
      <c r="K62" s="316"/>
      <c r="L62" s="160">
        <f t="shared" si="6"/>
        <v>0</v>
      </c>
      <c r="M62" s="316"/>
      <c r="N62" s="160">
        <f t="shared" si="1"/>
        <v>0</v>
      </c>
      <c r="O62" s="160">
        <f t="shared" si="2"/>
        <v>0</v>
      </c>
      <c r="P62" s="4"/>
      <c r="R62" s="1"/>
      <c r="S62" s="1"/>
      <c r="T62" s="1"/>
      <c r="U62" s="1"/>
    </row>
    <row r="63" spans="2:21">
      <c r="B63" t="str">
        <f t="shared" si="0"/>
        <v/>
      </c>
      <c r="C63" s="155">
        <f>IF(D11="","-",+C62+1)</f>
        <v>2063</v>
      </c>
      <c r="D63" s="164">
        <f>IF(F62+SUM(E$17:E62)=D$10,F62,D$10-SUM(E$17:E62))</f>
        <v>0</v>
      </c>
      <c r="E63" s="162">
        <f t="shared" si="9"/>
        <v>0</v>
      </c>
      <c r="F63" s="161">
        <f t="shared" si="7"/>
        <v>0</v>
      </c>
      <c r="G63" s="163">
        <f t="shared" si="4"/>
        <v>0</v>
      </c>
      <c r="H63" s="145">
        <f t="shared" si="5"/>
        <v>0</v>
      </c>
      <c r="I63" s="158">
        <f t="shared" si="8"/>
        <v>0</v>
      </c>
      <c r="J63" s="158"/>
      <c r="K63" s="316"/>
      <c r="L63" s="160">
        <f t="shared" si="6"/>
        <v>0</v>
      </c>
      <c r="M63" s="316"/>
      <c r="N63" s="160">
        <f t="shared" si="1"/>
        <v>0</v>
      </c>
      <c r="O63" s="160">
        <f t="shared" si="2"/>
        <v>0</v>
      </c>
      <c r="P63" s="4"/>
      <c r="R63" s="1"/>
      <c r="S63" s="1"/>
      <c r="T63" s="1"/>
      <c r="U63" s="1"/>
    </row>
    <row r="64" spans="2:21">
      <c r="B64" t="str">
        <f t="shared" si="0"/>
        <v/>
      </c>
      <c r="C64" s="155">
        <f>IF(D11="","-",+C63+1)</f>
        <v>2064</v>
      </c>
      <c r="D64" s="164">
        <f>IF(F63+SUM(E$17:E63)=D$10,F63,D$10-SUM(E$17:E63))</f>
        <v>0</v>
      </c>
      <c r="E64" s="162">
        <f t="shared" si="9"/>
        <v>0</v>
      </c>
      <c r="F64" s="161">
        <f t="shared" si="7"/>
        <v>0</v>
      </c>
      <c r="G64" s="163">
        <f t="shared" si="4"/>
        <v>0</v>
      </c>
      <c r="H64" s="145">
        <f t="shared" si="5"/>
        <v>0</v>
      </c>
      <c r="I64" s="158">
        <f t="shared" si="8"/>
        <v>0</v>
      </c>
      <c r="J64" s="158"/>
      <c r="K64" s="316"/>
      <c r="L64" s="160">
        <f t="shared" si="6"/>
        <v>0</v>
      </c>
      <c r="M64" s="316"/>
      <c r="N64" s="160">
        <f t="shared" si="1"/>
        <v>0</v>
      </c>
      <c r="O64" s="160">
        <f t="shared" si="2"/>
        <v>0</v>
      </c>
      <c r="P64" s="4"/>
      <c r="R64" s="1"/>
      <c r="S64" s="1"/>
      <c r="T64" s="1"/>
      <c r="U64" s="1"/>
    </row>
    <row r="65" spans="2:21">
      <c r="B65" t="str">
        <f t="shared" si="0"/>
        <v/>
      </c>
      <c r="C65" s="155">
        <f>IF(D11="","-",+C64+1)</f>
        <v>2065</v>
      </c>
      <c r="D65" s="164">
        <f>IF(F64+SUM(E$17:E64)=D$10,F64,D$10-SUM(E$17:E64))</f>
        <v>0</v>
      </c>
      <c r="E65" s="162">
        <f t="shared" si="9"/>
        <v>0</v>
      </c>
      <c r="F65" s="161">
        <f t="shared" si="7"/>
        <v>0</v>
      </c>
      <c r="G65" s="163">
        <f t="shared" si="4"/>
        <v>0</v>
      </c>
      <c r="H65" s="145">
        <f t="shared" si="5"/>
        <v>0</v>
      </c>
      <c r="I65" s="158">
        <f t="shared" si="8"/>
        <v>0</v>
      </c>
      <c r="J65" s="158"/>
      <c r="K65" s="316"/>
      <c r="L65" s="160">
        <f t="shared" si="6"/>
        <v>0</v>
      </c>
      <c r="M65" s="316"/>
      <c r="N65" s="160">
        <f t="shared" si="1"/>
        <v>0</v>
      </c>
      <c r="O65" s="160">
        <f t="shared" si="2"/>
        <v>0</v>
      </c>
      <c r="P65" s="4"/>
      <c r="R65" s="1"/>
      <c r="S65" s="1"/>
      <c r="T65" s="1"/>
      <c r="U65" s="1"/>
    </row>
    <row r="66" spans="2:21">
      <c r="B66" t="str">
        <f t="shared" si="0"/>
        <v/>
      </c>
      <c r="C66" s="155">
        <f>IF(D11="","-",+C65+1)</f>
        <v>2066</v>
      </c>
      <c r="D66" s="164">
        <f>IF(F65+SUM(E$17:E65)=D$10,F65,D$10-SUM(E$17:E65))</f>
        <v>0</v>
      </c>
      <c r="E66" s="162">
        <f t="shared" si="9"/>
        <v>0</v>
      </c>
      <c r="F66" s="161">
        <f t="shared" si="7"/>
        <v>0</v>
      </c>
      <c r="G66" s="163">
        <f t="shared" si="4"/>
        <v>0</v>
      </c>
      <c r="H66" s="145">
        <f t="shared" si="5"/>
        <v>0</v>
      </c>
      <c r="I66" s="158">
        <f t="shared" si="8"/>
        <v>0</v>
      </c>
      <c r="J66" s="158"/>
      <c r="K66" s="316"/>
      <c r="L66" s="160">
        <f t="shared" si="6"/>
        <v>0</v>
      </c>
      <c r="M66" s="316"/>
      <c r="N66" s="160">
        <f t="shared" si="1"/>
        <v>0</v>
      </c>
      <c r="O66" s="160">
        <f t="shared" si="2"/>
        <v>0</v>
      </c>
      <c r="P66" s="4"/>
      <c r="R66" s="1"/>
      <c r="S66" s="1"/>
      <c r="T66" s="1"/>
      <c r="U66" s="1"/>
    </row>
    <row r="67" spans="2:21">
      <c r="B67" t="str">
        <f t="shared" si="0"/>
        <v/>
      </c>
      <c r="C67" s="155">
        <f>IF(D11="","-",+C66+1)</f>
        <v>2067</v>
      </c>
      <c r="D67" s="164">
        <f>IF(F66+SUM(E$17:E66)=D$10,F66,D$10-SUM(E$17:E66))</f>
        <v>0</v>
      </c>
      <c r="E67" s="162">
        <f t="shared" si="9"/>
        <v>0</v>
      </c>
      <c r="F67" s="161">
        <f t="shared" si="7"/>
        <v>0</v>
      </c>
      <c r="G67" s="163">
        <f t="shared" si="4"/>
        <v>0</v>
      </c>
      <c r="H67" s="145">
        <f t="shared" si="5"/>
        <v>0</v>
      </c>
      <c r="I67" s="158">
        <f t="shared" si="8"/>
        <v>0</v>
      </c>
      <c r="J67" s="158"/>
      <c r="K67" s="316"/>
      <c r="L67" s="160">
        <f t="shared" si="6"/>
        <v>0</v>
      </c>
      <c r="M67" s="316"/>
      <c r="N67" s="160">
        <f t="shared" si="1"/>
        <v>0</v>
      </c>
      <c r="O67" s="160">
        <f t="shared" si="2"/>
        <v>0</v>
      </c>
      <c r="P67" s="4"/>
      <c r="R67" s="1"/>
      <c r="S67" s="1"/>
      <c r="T67" s="1"/>
      <c r="U67" s="1"/>
    </row>
    <row r="68" spans="2:21">
      <c r="B68" t="str">
        <f t="shared" si="0"/>
        <v/>
      </c>
      <c r="C68" s="155">
        <f>IF(D11="","-",+C67+1)</f>
        <v>2068</v>
      </c>
      <c r="D68" s="164">
        <f>IF(F67+SUM(E$17:E67)=D$10,F67,D$10-SUM(E$17:E67))</f>
        <v>0</v>
      </c>
      <c r="E68" s="162">
        <f t="shared" si="9"/>
        <v>0</v>
      </c>
      <c r="F68" s="161">
        <f t="shared" si="7"/>
        <v>0</v>
      </c>
      <c r="G68" s="163">
        <f t="shared" si="4"/>
        <v>0</v>
      </c>
      <c r="H68" s="145">
        <f t="shared" si="5"/>
        <v>0</v>
      </c>
      <c r="I68" s="158">
        <f t="shared" si="8"/>
        <v>0</v>
      </c>
      <c r="J68" s="158"/>
      <c r="K68" s="316"/>
      <c r="L68" s="160">
        <f t="shared" si="6"/>
        <v>0</v>
      </c>
      <c r="M68" s="316"/>
      <c r="N68" s="160">
        <f t="shared" si="1"/>
        <v>0</v>
      </c>
      <c r="O68" s="160">
        <f t="shared" si="2"/>
        <v>0</v>
      </c>
      <c r="P68" s="4"/>
      <c r="R68" s="1"/>
      <c r="S68" s="1"/>
      <c r="T68" s="1"/>
      <c r="U68" s="1"/>
    </row>
    <row r="69" spans="2:21">
      <c r="B69" t="str">
        <f t="shared" si="0"/>
        <v/>
      </c>
      <c r="C69" s="155">
        <f>IF(D11="","-",+C68+1)</f>
        <v>2069</v>
      </c>
      <c r="D69" s="164">
        <f>IF(F68+SUM(E$17:E68)=D$10,F68,D$10-SUM(E$17:E68))</f>
        <v>0</v>
      </c>
      <c r="E69" s="162">
        <f t="shared" si="9"/>
        <v>0</v>
      </c>
      <c r="F69" s="161">
        <f t="shared" si="7"/>
        <v>0</v>
      </c>
      <c r="G69" s="163">
        <f t="shared" si="4"/>
        <v>0</v>
      </c>
      <c r="H69" s="145">
        <f t="shared" si="5"/>
        <v>0</v>
      </c>
      <c r="I69" s="158">
        <f t="shared" si="8"/>
        <v>0</v>
      </c>
      <c r="J69" s="158"/>
      <c r="K69" s="316"/>
      <c r="L69" s="160">
        <f t="shared" si="6"/>
        <v>0</v>
      </c>
      <c r="M69" s="316"/>
      <c r="N69" s="160">
        <f t="shared" si="1"/>
        <v>0</v>
      </c>
      <c r="O69" s="160">
        <f t="shared" si="2"/>
        <v>0</v>
      </c>
      <c r="P69" s="4"/>
      <c r="R69" s="1"/>
      <c r="S69" s="1"/>
      <c r="T69" s="1"/>
      <c r="U69" s="1"/>
    </row>
    <row r="70" spans="2:21">
      <c r="B70" t="str">
        <f t="shared" si="0"/>
        <v/>
      </c>
      <c r="C70" s="155">
        <f>IF(D11="","-",+C69+1)</f>
        <v>2070</v>
      </c>
      <c r="D70" s="164">
        <f>IF(F69+SUM(E$17:E69)=D$10,F69,D$10-SUM(E$17:E69))</f>
        <v>0</v>
      </c>
      <c r="E70" s="162">
        <f t="shared" si="9"/>
        <v>0</v>
      </c>
      <c r="F70" s="161">
        <f t="shared" si="7"/>
        <v>0</v>
      </c>
      <c r="G70" s="163">
        <f t="shared" si="4"/>
        <v>0</v>
      </c>
      <c r="H70" s="145">
        <f t="shared" si="5"/>
        <v>0</v>
      </c>
      <c r="I70" s="158">
        <f t="shared" si="8"/>
        <v>0</v>
      </c>
      <c r="J70" s="158"/>
      <c r="K70" s="316"/>
      <c r="L70" s="160">
        <f t="shared" si="6"/>
        <v>0</v>
      </c>
      <c r="M70" s="316"/>
      <c r="N70" s="160">
        <f t="shared" si="1"/>
        <v>0</v>
      </c>
      <c r="O70" s="160">
        <f t="shared" si="2"/>
        <v>0</v>
      </c>
      <c r="P70" s="4"/>
      <c r="R70" s="1"/>
      <c r="S70" s="1"/>
      <c r="T70" s="1"/>
      <c r="U70" s="1"/>
    </row>
    <row r="71" spans="2:21">
      <c r="B71" t="str">
        <f t="shared" si="0"/>
        <v/>
      </c>
      <c r="C71" s="155">
        <f>IF(D11="","-",+C70+1)</f>
        <v>2071</v>
      </c>
      <c r="D71" s="164">
        <f>IF(F70+SUM(E$17:E70)=D$10,F70,D$10-SUM(E$17:E70))</f>
        <v>0</v>
      </c>
      <c r="E71" s="162">
        <f t="shared" si="9"/>
        <v>0</v>
      </c>
      <c r="F71" s="161">
        <f t="shared" si="7"/>
        <v>0</v>
      </c>
      <c r="G71" s="163">
        <f t="shared" si="4"/>
        <v>0</v>
      </c>
      <c r="H71" s="145">
        <f t="shared" si="5"/>
        <v>0</v>
      </c>
      <c r="I71" s="158">
        <f t="shared" si="8"/>
        <v>0</v>
      </c>
      <c r="J71" s="158"/>
      <c r="K71" s="316"/>
      <c r="L71" s="160">
        <f t="shared" si="6"/>
        <v>0</v>
      </c>
      <c r="M71" s="316"/>
      <c r="N71" s="160">
        <f t="shared" si="1"/>
        <v>0</v>
      </c>
      <c r="O71" s="160">
        <f t="shared" si="2"/>
        <v>0</v>
      </c>
      <c r="P71" s="4"/>
      <c r="R71" s="1"/>
      <c r="S71" s="1"/>
      <c r="T71" s="1"/>
      <c r="U71" s="1"/>
    </row>
    <row r="72" spans="2:21">
      <c r="B72" t="str">
        <f t="shared" si="0"/>
        <v/>
      </c>
      <c r="C72" s="155">
        <f>IF(D11="","-",+C71+1)</f>
        <v>2072</v>
      </c>
      <c r="D72" s="164">
        <f>IF(F71+SUM(E$17:E71)=D$10,F71,D$10-SUM(E$17:E71))</f>
        <v>0</v>
      </c>
      <c r="E72" s="162">
        <f t="shared" si="9"/>
        <v>0</v>
      </c>
      <c r="F72" s="161">
        <f t="shared" si="7"/>
        <v>0</v>
      </c>
      <c r="G72" s="163">
        <f t="shared" si="4"/>
        <v>0</v>
      </c>
      <c r="H72" s="145">
        <f t="shared" si="5"/>
        <v>0</v>
      </c>
      <c r="I72" s="158">
        <f t="shared" si="8"/>
        <v>0</v>
      </c>
      <c r="J72" s="158"/>
      <c r="K72" s="316"/>
      <c r="L72" s="160">
        <f t="shared" si="6"/>
        <v>0</v>
      </c>
      <c r="M72" s="316"/>
      <c r="N72" s="160">
        <f t="shared" si="1"/>
        <v>0</v>
      </c>
      <c r="O72" s="160">
        <f t="shared" si="2"/>
        <v>0</v>
      </c>
      <c r="P72" s="4"/>
      <c r="R72" s="1"/>
      <c r="S72" s="1"/>
      <c r="T72" s="1"/>
      <c r="U72" s="1"/>
    </row>
    <row r="73" spans="2:21" ht="13.5" thickBot="1">
      <c r="B73" t="str">
        <f t="shared" si="0"/>
        <v/>
      </c>
      <c r="C73" s="166">
        <f>IF(D11="","-",+C72+1)</f>
        <v>2073</v>
      </c>
      <c r="D73" s="349">
        <f>IF(F72+SUM(E$17:E72)=D$10,F72,D$10-SUM(E$17:E72))</f>
        <v>0</v>
      </c>
      <c r="E73" s="168">
        <f t="shared" si="9"/>
        <v>0</v>
      </c>
      <c r="F73" s="167">
        <f t="shared" si="7"/>
        <v>0</v>
      </c>
      <c r="G73" s="167">
        <f t="shared" si="4"/>
        <v>0</v>
      </c>
      <c r="H73" s="167">
        <f t="shared" si="5"/>
        <v>0</v>
      </c>
      <c r="I73" s="170">
        <f t="shared" si="8"/>
        <v>0</v>
      </c>
      <c r="J73" s="158"/>
      <c r="K73" s="317"/>
      <c r="L73" s="171">
        <f t="shared" si="6"/>
        <v>0</v>
      </c>
      <c r="M73" s="317"/>
      <c r="N73" s="171">
        <f t="shared" si="1"/>
        <v>0</v>
      </c>
      <c r="O73" s="171">
        <f t="shared" si="2"/>
        <v>0</v>
      </c>
      <c r="P73" s="4"/>
      <c r="R73" s="1"/>
      <c r="S73" s="1"/>
      <c r="T73" s="1"/>
      <c r="U73" s="1"/>
    </row>
    <row r="74" spans="2:21">
      <c r="C74" s="156" t="s">
        <v>75</v>
      </c>
      <c r="D74" s="112"/>
      <c r="E74" s="112">
        <f>SUM(E17:E73)</f>
        <v>10615000</v>
      </c>
      <c r="F74" s="112"/>
      <c r="G74" s="112">
        <f>SUM(G17:G73)</f>
        <v>36125748.182762414</v>
      </c>
      <c r="H74" s="112">
        <f>SUM(H17:H73)</f>
        <v>36125748.182762414</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1" t="str">
        <f ca="1">P1</f>
        <v>OKT Project 15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1479941.6722122387</v>
      </c>
      <c r="N88" s="198">
        <f>IF(J93&lt;D11,0,VLOOKUP(J93,C17:O73,11))</f>
        <v>1479941.6722122387</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1440489.6981770755</v>
      </c>
      <c r="N89" s="200">
        <f>IF(J93&lt;D11,0,VLOOKUP(J93,C100:P155,7))</f>
        <v>1440489.6981770755</v>
      </c>
      <c r="O89" s="201">
        <f>+N89-M89</f>
        <v>0</v>
      </c>
      <c r="P89" s="1"/>
      <c r="Q89" s="1"/>
      <c r="R89" s="1"/>
      <c r="S89" s="1"/>
      <c r="T89" s="1"/>
      <c r="U89" s="1"/>
    </row>
    <row r="90" spans="1:21" ht="13.5" thickBot="1">
      <c r="C90" s="124" t="s">
        <v>82</v>
      </c>
      <c r="D90" s="243" t="str">
        <f>+D7</f>
        <v>Darlington Roman Nose 138 kv</v>
      </c>
      <c r="E90" s="1"/>
      <c r="F90" s="1"/>
      <c r="G90" s="1"/>
      <c r="H90" s="1"/>
      <c r="I90" s="3"/>
      <c r="J90" s="3"/>
      <c r="K90" s="256"/>
      <c r="L90" s="257" t="s">
        <v>135</v>
      </c>
      <c r="M90" s="203">
        <f>+M89-M88</f>
        <v>-39451.974035163177</v>
      </c>
      <c r="N90" s="203">
        <f>+N89-N88</f>
        <v>-39451.974035163177</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
        <v>261</v>
      </c>
      <c r="E92" s="206"/>
      <c r="F92" s="206"/>
      <c r="G92" s="206"/>
      <c r="H92" s="206"/>
      <c r="I92" s="206"/>
      <c r="J92" s="206"/>
      <c r="K92" s="207"/>
      <c r="P92" s="134"/>
      <c r="Q92" s="1"/>
      <c r="R92" s="1"/>
      <c r="S92" s="1"/>
      <c r="T92" s="1"/>
      <c r="U92" s="1"/>
    </row>
    <row r="93" spans="1:21">
      <c r="C93" s="139" t="s">
        <v>49</v>
      </c>
      <c r="D93" s="381">
        <v>11033623</v>
      </c>
      <c r="E93" s="23" t="s">
        <v>84</v>
      </c>
      <c r="H93" s="137"/>
      <c r="I93" s="137"/>
      <c r="J93" s="138">
        <f>+'OKT.WS.G.BPU.ATRR.True-up'!M16</f>
        <v>2018</v>
      </c>
      <c r="K93" s="133"/>
      <c r="L93" s="112" t="s">
        <v>85</v>
      </c>
      <c r="P93" s="4"/>
      <c r="Q93" s="1"/>
      <c r="R93" s="1"/>
      <c r="S93" s="1"/>
      <c r="T93" s="1"/>
      <c r="U93" s="1"/>
    </row>
    <row r="94" spans="1:21">
      <c r="C94" s="139" t="s">
        <v>52</v>
      </c>
      <c r="D94" s="444">
        <f>D11</f>
        <v>2017</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381">
        <f>D12</f>
        <v>6</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306489.52777777775</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319" t="s">
        <v>177</v>
      </c>
      <c r="M98" s="149" t="s">
        <v>89</v>
      </c>
      <c r="N98" s="319" t="s">
        <v>177</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 t="shared" ref="B100:B155" si="10">IF(D100=F99,"","IU")</f>
        <v>IU</v>
      </c>
      <c r="C100" s="155">
        <f>IF(D94= "","-",D94)</f>
        <v>2017</v>
      </c>
      <c r="D100" s="373">
        <v>0</v>
      </c>
      <c r="E100" s="375">
        <v>137920.28750000001</v>
      </c>
      <c r="F100" s="377">
        <v>10895702.7125</v>
      </c>
      <c r="G100" s="377">
        <v>5447851.3562500002</v>
      </c>
      <c r="H100" s="375">
        <v>777148.63448158256</v>
      </c>
      <c r="I100" s="376">
        <v>777148.63448158256</v>
      </c>
      <c r="J100" s="160">
        <f>+I100-H100</f>
        <v>0</v>
      </c>
      <c r="K100" s="160"/>
      <c r="L100" s="344">
        <f>+H100</f>
        <v>777148.63448158256</v>
      </c>
      <c r="M100" s="160">
        <f>IF(L100&lt;&gt;0,+H100-L100,0)</f>
        <v>0</v>
      </c>
      <c r="N100" s="344">
        <f>+I100</f>
        <v>777148.63448158256</v>
      </c>
      <c r="O100" s="367">
        <f>IF(N100&lt;&gt;0,+I100-N100,0)</f>
        <v>0</v>
      </c>
      <c r="P100" s="160">
        <f>+O100-M100</f>
        <v>0</v>
      </c>
      <c r="Q100" s="1"/>
      <c r="R100" s="1"/>
      <c r="S100" s="1"/>
      <c r="T100" s="1"/>
      <c r="U100" s="1"/>
    </row>
    <row r="101" spans="1:21">
      <c r="B101" t="str">
        <f t="shared" si="10"/>
        <v/>
      </c>
      <c r="C101" s="155">
        <f>IF(D94="","-",+C100+1)</f>
        <v>2018</v>
      </c>
      <c r="D101" s="156">
        <f>IF(F100+SUM(E$100:E100)=D$93,F100,D$93-SUM(E$100:E100))</f>
        <v>10895702.7125</v>
      </c>
      <c r="E101" s="162">
        <f>IF(+$J$97&lt;F100,$J$97,D101)</f>
        <v>306489.52777777775</v>
      </c>
      <c r="F101" s="161">
        <f>+D101-E101</f>
        <v>10589213.184722222</v>
      </c>
      <c r="G101" s="161">
        <f>+(F101+D101)/2</f>
        <v>10742457.94861111</v>
      </c>
      <c r="H101" s="165">
        <f>+J$95*G101+E101</f>
        <v>1440489.6981770755</v>
      </c>
      <c r="I101" s="299">
        <f>+J$96*G101+E101</f>
        <v>1440489.6981770755</v>
      </c>
      <c r="J101" s="160">
        <v>0</v>
      </c>
      <c r="K101" s="160"/>
      <c r="L101" s="316"/>
      <c r="M101" s="160">
        <f>IF(L101&lt;&gt;0,+H101-L101,0)</f>
        <v>0</v>
      </c>
      <c r="N101" s="316"/>
      <c r="O101" s="160">
        <f>IF(N101&lt;&gt;0,+I101-N101,0)</f>
        <v>0</v>
      </c>
      <c r="P101" s="160">
        <f>+O101-M101</f>
        <v>0</v>
      </c>
      <c r="Q101" s="1"/>
      <c r="R101" s="1"/>
      <c r="S101" s="1"/>
      <c r="T101" s="1"/>
      <c r="U101" s="1"/>
    </row>
    <row r="102" spans="1:21">
      <c r="B102" t="str">
        <f t="shared" si="10"/>
        <v/>
      </c>
      <c r="C102" s="155">
        <f>IF(D94="","-",+C101+1)</f>
        <v>2019</v>
      </c>
      <c r="D102" s="156">
        <f>IF(F101+SUM(E$100:E101)=D$93,F101,D$93-SUM(E$100:E101))</f>
        <v>10589213.184722222</v>
      </c>
      <c r="E102" s="162">
        <f>IF(+$J$97&lt;F101,$J$97,D102)</f>
        <v>306489.52777777775</v>
      </c>
      <c r="F102" s="161">
        <f t="shared" ref="F102:F155" si="11">+D102-E102</f>
        <v>10282723.656944444</v>
      </c>
      <c r="G102" s="161">
        <f t="shared" ref="G102:G155" si="12">+(F102+D102)/2</f>
        <v>10435968.420833334</v>
      </c>
      <c r="H102" s="165">
        <f t="shared" ref="H102:H155" si="13">+J$95*G102+E102</f>
        <v>1408135.9130016321</v>
      </c>
      <c r="I102" s="299">
        <f t="shared" ref="I102:I155" si="14">+J$96*G102+E102</f>
        <v>1408135.9130016321</v>
      </c>
      <c r="J102" s="160">
        <f t="shared" ref="J102:J155" si="15">+I102-H102</f>
        <v>0</v>
      </c>
      <c r="K102" s="160"/>
      <c r="L102" s="316"/>
      <c r="M102" s="160">
        <f t="shared" ref="M102:M155" si="16">IF(L102&lt;&gt;0,+H102-L102,0)</f>
        <v>0</v>
      </c>
      <c r="N102" s="316"/>
      <c r="O102" s="160">
        <f t="shared" ref="O102:O155" si="17">IF(N102&lt;&gt;0,+I102-N102,0)</f>
        <v>0</v>
      </c>
      <c r="P102" s="160">
        <f t="shared" ref="P102:P155" si="18">+O102-M102</f>
        <v>0</v>
      </c>
      <c r="Q102" s="1"/>
      <c r="R102" s="1"/>
      <c r="S102" s="1"/>
      <c r="T102" s="1"/>
      <c r="U102" s="1"/>
    </row>
    <row r="103" spans="1:21">
      <c r="B103" t="str">
        <f t="shared" si="10"/>
        <v/>
      </c>
      <c r="C103" s="155">
        <f>IF(D94="","-",+C102+1)</f>
        <v>2020</v>
      </c>
      <c r="D103" s="156">
        <f>IF(F102+SUM(E$100:E102)=D$93,F102,D$93-SUM(E$100:E102))</f>
        <v>10282723.656944444</v>
      </c>
      <c r="E103" s="162">
        <f t="shared" ref="E103:E134" si="19">IF(+J$97&lt;F102,J$97,D103)</f>
        <v>306489.52777777775</v>
      </c>
      <c r="F103" s="161">
        <f t="shared" si="11"/>
        <v>9976234.1291666664</v>
      </c>
      <c r="G103" s="161">
        <f t="shared" si="12"/>
        <v>10129478.893055554</v>
      </c>
      <c r="H103" s="165">
        <f t="shared" si="13"/>
        <v>1375782.1278261882</v>
      </c>
      <c r="I103" s="299">
        <f t="shared" si="14"/>
        <v>1375782.1278261882</v>
      </c>
      <c r="J103" s="160">
        <f t="shared" si="15"/>
        <v>0</v>
      </c>
      <c r="K103" s="160"/>
      <c r="L103" s="316"/>
      <c r="M103" s="160">
        <f t="shared" si="16"/>
        <v>0</v>
      </c>
      <c r="N103" s="316"/>
      <c r="O103" s="160">
        <f t="shared" si="17"/>
        <v>0</v>
      </c>
      <c r="P103" s="160">
        <f t="shared" si="18"/>
        <v>0</v>
      </c>
      <c r="Q103" s="1"/>
      <c r="R103" s="1"/>
      <c r="S103" s="1"/>
      <c r="T103" s="1"/>
      <c r="U103" s="1"/>
    </row>
    <row r="104" spans="1:21">
      <c r="B104" t="str">
        <f t="shared" si="10"/>
        <v/>
      </c>
      <c r="C104" s="155">
        <f>IF(D94="","-",+C103+1)</f>
        <v>2021</v>
      </c>
      <c r="D104" s="156">
        <f>IF(F103+SUM(E$100:E103)=D$93,F103,D$93-SUM(E$100:E103))</f>
        <v>9976234.1291666664</v>
      </c>
      <c r="E104" s="162">
        <f t="shared" si="19"/>
        <v>306489.52777777775</v>
      </c>
      <c r="F104" s="161">
        <f t="shared" si="11"/>
        <v>9669744.6013888884</v>
      </c>
      <c r="G104" s="161">
        <f t="shared" si="12"/>
        <v>9822989.3652777784</v>
      </c>
      <c r="H104" s="165">
        <f>+J$95*G104+E104</f>
        <v>1343428.3426507446</v>
      </c>
      <c r="I104" s="299">
        <f t="shared" si="14"/>
        <v>1343428.3426507446</v>
      </c>
      <c r="J104" s="160">
        <f t="shared" si="15"/>
        <v>0</v>
      </c>
      <c r="K104" s="160"/>
      <c r="L104" s="316"/>
      <c r="M104" s="160">
        <f t="shared" si="16"/>
        <v>0</v>
      </c>
      <c r="N104" s="316"/>
      <c r="O104" s="160">
        <f t="shared" si="17"/>
        <v>0</v>
      </c>
      <c r="P104" s="160">
        <f t="shared" si="18"/>
        <v>0</v>
      </c>
      <c r="Q104" s="1"/>
      <c r="R104" s="1"/>
      <c r="S104" s="1"/>
      <c r="T104" s="1"/>
      <c r="U104" s="1"/>
    </row>
    <row r="105" spans="1:21">
      <c r="B105" t="str">
        <f t="shared" si="10"/>
        <v/>
      </c>
      <c r="C105" s="155">
        <f>IF(D94="","-",+C104+1)</f>
        <v>2022</v>
      </c>
      <c r="D105" s="156">
        <f>IF(F104+SUM(E$100:E104)=D$93,F104,D$93-SUM(E$100:E104))</f>
        <v>9669744.6013888884</v>
      </c>
      <c r="E105" s="162">
        <f t="shared" si="19"/>
        <v>306489.52777777775</v>
      </c>
      <c r="F105" s="161">
        <f t="shared" si="11"/>
        <v>9363255.0736111104</v>
      </c>
      <c r="G105" s="161">
        <f t="shared" si="12"/>
        <v>9516499.8374999985</v>
      </c>
      <c r="H105" s="165">
        <f t="shared" si="13"/>
        <v>1311074.557475301</v>
      </c>
      <c r="I105" s="299">
        <f t="shared" si="14"/>
        <v>1311074.557475301</v>
      </c>
      <c r="J105" s="160">
        <f t="shared" si="15"/>
        <v>0</v>
      </c>
      <c r="K105" s="160"/>
      <c r="L105" s="316"/>
      <c r="M105" s="160">
        <f t="shared" si="16"/>
        <v>0</v>
      </c>
      <c r="N105" s="316"/>
      <c r="O105" s="160">
        <f t="shared" si="17"/>
        <v>0</v>
      </c>
      <c r="P105" s="160">
        <f t="shared" si="18"/>
        <v>0</v>
      </c>
      <c r="Q105" s="1"/>
      <c r="R105" s="1"/>
      <c r="S105" s="1"/>
      <c r="T105" s="1"/>
      <c r="U105" s="1"/>
    </row>
    <row r="106" spans="1:21">
      <c r="B106" t="str">
        <f t="shared" si="10"/>
        <v/>
      </c>
      <c r="C106" s="155">
        <f>IF(D94="","-",+C105+1)</f>
        <v>2023</v>
      </c>
      <c r="D106" s="156">
        <f>IF(F105+SUM(E$100:E105)=D$93,F105,D$93-SUM(E$100:E105))</f>
        <v>9363255.0736111104</v>
      </c>
      <c r="E106" s="162">
        <f t="shared" si="19"/>
        <v>306489.52777777775</v>
      </c>
      <c r="F106" s="161">
        <f t="shared" si="11"/>
        <v>9056765.5458333325</v>
      </c>
      <c r="G106" s="161">
        <f t="shared" si="12"/>
        <v>9210010.3097222224</v>
      </c>
      <c r="H106" s="165">
        <f t="shared" si="13"/>
        <v>1278720.7722998576</v>
      </c>
      <c r="I106" s="299">
        <f t="shared" si="14"/>
        <v>1278720.7722998576</v>
      </c>
      <c r="J106" s="160">
        <f t="shared" si="15"/>
        <v>0</v>
      </c>
      <c r="K106" s="160"/>
      <c r="L106" s="316"/>
      <c r="M106" s="160">
        <f t="shared" si="16"/>
        <v>0</v>
      </c>
      <c r="N106" s="316"/>
      <c r="O106" s="160">
        <f t="shared" si="17"/>
        <v>0</v>
      </c>
      <c r="P106" s="160">
        <f t="shared" si="18"/>
        <v>0</v>
      </c>
      <c r="Q106" s="1"/>
      <c r="R106" s="1"/>
      <c r="S106" s="1"/>
      <c r="T106" s="1"/>
      <c r="U106" s="1"/>
    </row>
    <row r="107" spans="1:21">
      <c r="B107" t="str">
        <f t="shared" si="10"/>
        <v/>
      </c>
      <c r="C107" s="155">
        <f>IF(D94="","-",+C106+1)</f>
        <v>2024</v>
      </c>
      <c r="D107" s="156">
        <f>IF(F106+SUM(E$100:E106)=D$93,F106,D$93-SUM(E$100:E106))</f>
        <v>9056765.5458333325</v>
      </c>
      <c r="E107" s="162">
        <f t="shared" si="19"/>
        <v>306489.52777777775</v>
      </c>
      <c r="F107" s="161">
        <f t="shared" si="11"/>
        <v>8750276.0180555545</v>
      </c>
      <c r="G107" s="161">
        <f t="shared" si="12"/>
        <v>8903520.7819444425</v>
      </c>
      <c r="H107" s="165">
        <f t="shared" si="13"/>
        <v>1246366.9871244137</v>
      </c>
      <c r="I107" s="299">
        <f t="shared" si="14"/>
        <v>1246366.9871244137</v>
      </c>
      <c r="J107" s="160">
        <f t="shared" si="15"/>
        <v>0</v>
      </c>
      <c r="K107" s="160"/>
      <c r="L107" s="316"/>
      <c r="M107" s="160">
        <f t="shared" si="16"/>
        <v>0</v>
      </c>
      <c r="N107" s="316"/>
      <c r="O107" s="160">
        <f t="shared" si="17"/>
        <v>0</v>
      </c>
      <c r="P107" s="160">
        <f t="shared" si="18"/>
        <v>0</v>
      </c>
      <c r="Q107" s="1"/>
      <c r="R107" s="1"/>
      <c r="S107" s="1"/>
      <c r="T107" s="1"/>
      <c r="U107" s="1"/>
    </row>
    <row r="108" spans="1:21">
      <c r="B108" t="str">
        <f t="shared" si="10"/>
        <v/>
      </c>
      <c r="C108" s="155">
        <f>IF(D94="","-",+C107+1)</f>
        <v>2025</v>
      </c>
      <c r="D108" s="156">
        <f>IF(F107+SUM(E$100:E107)=D$93,F107,D$93-SUM(E$100:E107))</f>
        <v>8750276.0180555545</v>
      </c>
      <c r="E108" s="162">
        <f t="shared" si="19"/>
        <v>306489.52777777775</v>
      </c>
      <c r="F108" s="161">
        <f t="shared" si="11"/>
        <v>8443786.4902777765</v>
      </c>
      <c r="G108" s="161">
        <f t="shared" si="12"/>
        <v>8597031.2541666664</v>
      </c>
      <c r="H108" s="165">
        <f t="shared" si="13"/>
        <v>1214013.2019489703</v>
      </c>
      <c r="I108" s="299">
        <f t="shared" si="14"/>
        <v>1214013.2019489703</v>
      </c>
      <c r="J108" s="160">
        <f t="shared" si="15"/>
        <v>0</v>
      </c>
      <c r="K108" s="160"/>
      <c r="L108" s="316"/>
      <c r="M108" s="160">
        <f t="shared" si="16"/>
        <v>0</v>
      </c>
      <c r="N108" s="316"/>
      <c r="O108" s="160">
        <f t="shared" si="17"/>
        <v>0</v>
      </c>
      <c r="P108" s="160">
        <f t="shared" si="18"/>
        <v>0</v>
      </c>
      <c r="Q108" s="1"/>
      <c r="R108" s="1"/>
      <c r="S108" s="1"/>
      <c r="T108" s="1"/>
      <c r="U108" s="1"/>
    </row>
    <row r="109" spans="1:21">
      <c r="B109" t="str">
        <f t="shared" si="10"/>
        <v/>
      </c>
      <c r="C109" s="155">
        <f>IF(D94="","-",+C108+1)</f>
        <v>2026</v>
      </c>
      <c r="D109" s="156">
        <f>IF(F108+SUM(E$100:E108)=D$93,F108,D$93-SUM(E$100:E108))</f>
        <v>8443786.4902777765</v>
      </c>
      <c r="E109" s="162">
        <f t="shared" si="19"/>
        <v>306489.52777777775</v>
      </c>
      <c r="F109" s="161">
        <f t="shared" si="11"/>
        <v>8137296.9624999985</v>
      </c>
      <c r="G109" s="161">
        <f t="shared" si="12"/>
        <v>8290541.7263888875</v>
      </c>
      <c r="H109" s="165">
        <f t="shared" si="13"/>
        <v>1181659.4167735265</v>
      </c>
      <c r="I109" s="299">
        <f t="shared" si="14"/>
        <v>1181659.4167735265</v>
      </c>
      <c r="J109" s="160">
        <f t="shared" si="15"/>
        <v>0</v>
      </c>
      <c r="K109" s="160"/>
      <c r="L109" s="316"/>
      <c r="M109" s="160">
        <f t="shared" si="16"/>
        <v>0</v>
      </c>
      <c r="N109" s="316"/>
      <c r="O109" s="160">
        <f t="shared" si="17"/>
        <v>0</v>
      </c>
      <c r="P109" s="160">
        <f t="shared" si="18"/>
        <v>0</v>
      </c>
      <c r="Q109" s="1"/>
      <c r="R109" s="1"/>
      <c r="S109" s="1"/>
      <c r="T109" s="1"/>
      <c r="U109" s="1"/>
    </row>
    <row r="110" spans="1:21">
      <c r="B110" t="str">
        <f t="shared" si="10"/>
        <v/>
      </c>
      <c r="C110" s="155">
        <f>IF(D94="","-",+C109+1)</f>
        <v>2027</v>
      </c>
      <c r="D110" s="156">
        <f>IF(F109+SUM(E$100:E109)=D$93,F109,D$93-SUM(E$100:E109))</f>
        <v>8137296.9624999985</v>
      </c>
      <c r="E110" s="162">
        <f t="shared" si="19"/>
        <v>306489.52777777775</v>
      </c>
      <c r="F110" s="161">
        <f t="shared" si="11"/>
        <v>7830807.4347222205</v>
      </c>
      <c r="G110" s="161">
        <f t="shared" si="12"/>
        <v>7984052.1986111095</v>
      </c>
      <c r="H110" s="165">
        <f t="shared" si="13"/>
        <v>1149305.6315980828</v>
      </c>
      <c r="I110" s="299">
        <f t="shared" si="14"/>
        <v>1149305.6315980828</v>
      </c>
      <c r="J110" s="160">
        <f t="shared" si="15"/>
        <v>0</v>
      </c>
      <c r="K110" s="160"/>
      <c r="L110" s="316"/>
      <c r="M110" s="160">
        <f t="shared" si="16"/>
        <v>0</v>
      </c>
      <c r="N110" s="316"/>
      <c r="O110" s="160">
        <f t="shared" si="17"/>
        <v>0</v>
      </c>
      <c r="P110" s="160">
        <f t="shared" si="18"/>
        <v>0</v>
      </c>
      <c r="Q110" s="1"/>
      <c r="R110" s="1"/>
      <c r="S110" s="1"/>
      <c r="T110" s="1"/>
      <c r="U110" s="1"/>
    </row>
    <row r="111" spans="1:21">
      <c r="B111" t="str">
        <f t="shared" si="10"/>
        <v/>
      </c>
      <c r="C111" s="155">
        <f>IF(D94="","-",+C110+1)</f>
        <v>2028</v>
      </c>
      <c r="D111" s="156">
        <f>IF(F110+SUM(E$100:E110)=D$93,F110,D$93-SUM(E$100:E110))</f>
        <v>7830807.4347222205</v>
      </c>
      <c r="E111" s="162">
        <f t="shared" si="19"/>
        <v>306489.52777777775</v>
      </c>
      <c r="F111" s="161">
        <f t="shared" si="11"/>
        <v>7524317.9069444425</v>
      </c>
      <c r="G111" s="161">
        <f t="shared" si="12"/>
        <v>7677562.6708333315</v>
      </c>
      <c r="H111" s="165">
        <f t="shared" si="13"/>
        <v>1116951.8464226394</v>
      </c>
      <c r="I111" s="299">
        <f t="shared" si="14"/>
        <v>1116951.8464226394</v>
      </c>
      <c r="J111" s="160">
        <f t="shared" si="15"/>
        <v>0</v>
      </c>
      <c r="K111" s="160"/>
      <c r="L111" s="316"/>
      <c r="M111" s="160">
        <f t="shared" si="16"/>
        <v>0</v>
      </c>
      <c r="N111" s="316"/>
      <c r="O111" s="160">
        <f t="shared" si="17"/>
        <v>0</v>
      </c>
      <c r="P111" s="160">
        <f t="shared" si="18"/>
        <v>0</v>
      </c>
      <c r="Q111" s="1"/>
      <c r="R111" s="1"/>
      <c r="S111" s="1"/>
      <c r="T111" s="1"/>
      <c r="U111" s="1"/>
    </row>
    <row r="112" spans="1:21">
      <c r="B112" t="str">
        <f t="shared" si="10"/>
        <v/>
      </c>
      <c r="C112" s="155">
        <f>IF(D94="","-",+C111+1)</f>
        <v>2029</v>
      </c>
      <c r="D112" s="156">
        <f>IF(F111+SUM(E$100:E111)=D$93,F111,D$93-SUM(E$100:E111))</f>
        <v>7524317.9069444425</v>
      </c>
      <c r="E112" s="162">
        <f t="shared" si="19"/>
        <v>306489.52777777775</v>
      </c>
      <c r="F112" s="161">
        <f t="shared" si="11"/>
        <v>7217828.3791666646</v>
      </c>
      <c r="G112" s="161">
        <f t="shared" si="12"/>
        <v>7371073.1430555535</v>
      </c>
      <c r="H112" s="165">
        <f t="shared" si="13"/>
        <v>1084598.0612471958</v>
      </c>
      <c r="I112" s="299">
        <f t="shared" si="14"/>
        <v>1084598.0612471958</v>
      </c>
      <c r="J112" s="160">
        <f t="shared" si="15"/>
        <v>0</v>
      </c>
      <c r="K112" s="160"/>
      <c r="L112" s="316"/>
      <c r="M112" s="160">
        <f t="shared" si="16"/>
        <v>0</v>
      </c>
      <c r="N112" s="316"/>
      <c r="O112" s="160">
        <f t="shared" si="17"/>
        <v>0</v>
      </c>
      <c r="P112" s="160">
        <f t="shared" si="18"/>
        <v>0</v>
      </c>
      <c r="Q112" s="1"/>
      <c r="R112" s="1"/>
      <c r="S112" s="1"/>
      <c r="T112" s="1"/>
      <c r="U112" s="1"/>
    </row>
    <row r="113" spans="2:21">
      <c r="B113" t="str">
        <f t="shared" si="10"/>
        <v/>
      </c>
      <c r="C113" s="155">
        <f>IF(D94="","-",+C112+1)</f>
        <v>2030</v>
      </c>
      <c r="D113" s="156">
        <f>IF(F112+SUM(E$100:E112)=D$93,F112,D$93-SUM(E$100:E112))</f>
        <v>7217828.3791666646</v>
      </c>
      <c r="E113" s="162">
        <f t="shared" si="19"/>
        <v>306489.52777777775</v>
      </c>
      <c r="F113" s="161">
        <f t="shared" si="11"/>
        <v>6911338.8513888866</v>
      </c>
      <c r="G113" s="161">
        <f t="shared" si="12"/>
        <v>7064583.6152777756</v>
      </c>
      <c r="H113" s="165">
        <f t="shared" si="13"/>
        <v>1052244.2760717522</v>
      </c>
      <c r="I113" s="299">
        <f t="shared" si="14"/>
        <v>1052244.2760717522</v>
      </c>
      <c r="J113" s="160">
        <f t="shared" si="15"/>
        <v>0</v>
      </c>
      <c r="K113" s="160"/>
      <c r="L113" s="316"/>
      <c r="M113" s="160">
        <f t="shared" si="16"/>
        <v>0</v>
      </c>
      <c r="N113" s="316"/>
      <c r="O113" s="160">
        <f t="shared" si="17"/>
        <v>0</v>
      </c>
      <c r="P113" s="160">
        <f t="shared" si="18"/>
        <v>0</v>
      </c>
      <c r="Q113" s="1"/>
      <c r="R113" s="1"/>
      <c r="S113" s="1"/>
      <c r="T113" s="1"/>
      <c r="U113" s="1"/>
    </row>
    <row r="114" spans="2:21">
      <c r="B114" t="str">
        <f t="shared" si="10"/>
        <v/>
      </c>
      <c r="C114" s="155">
        <f>IF(D94="","-",+C113+1)</f>
        <v>2031</v>
      </c>
      <c r="D114" s="156">
        <f>IF(F113+SUM(E$100:E113)=D$93,F113,D$93-SUM(E$100:E113))</f>
        <v>6911338.8513888866</v>
      </c>
      <c r="E114" s="162">
        <f t="shared" si="19"/>
        <v>306489.52777777775</v>
      </c>
      <c r="F114" s="161">
        <f t="shared" si="11"/>
        <v>6604849.3236111086</v>
      </c>
      <c r="G114" s="161">
        <f t="shared" si="12"/>
        <v>6758094.0874999976</v>
      </c>
      <c r="H114" s="165">
        <f t="shared" si="13"/>
        <v>1019890.4908963086</v>
      </c>
      <c r="I114" s="299">
        <f t="shared" si="14"/>
        <v>1019890.4908963086</v>
      </c>
      <c r="J114" s="160">
        <f t="shared" si="15"/>
        <v>0</v>
      </c>
      <c r="K114" s="160"/>
      <c r="L114" s="316"/>
      <c r="M114" s="160">
        <f t="shared" si="16"/>
        <v>0</v>
      </c>
      <c r="N114" s="316"/>
      <c r="O114" s="160">
        <f t="shared" si="17"/>
        <v>0</v>
      </c>
      <c r="P114" s="160">
        <f t="shared" si="18"/>
        <v>0</v>
      </c>
      <c r="Q114" s="1"/>
      <c r="R114" s="1"/>
      <c r="S114" s="1"/>
      <c r="T114" s="1"/>
      <c r="U114" s="1"/>
    </row>
    <row r="115" spans="2:21">
      <c r="B115" t="str">
        <f t="shared" si="10"/>
        <v/>
      </c>
      <c r="C115" s="155">
        <f>IF(D94="","-",+C114+1)</f>
        <v>2032</v>
      </c>
      <c r="D115" s="156">
        <f>IF(F114+SUM(E$100:E114)=D$93,F114,D$93-SUM(E$100:E114))</f>
        <v>6604849.3236111086</v>
      </c>
      <c r="E115" s="162">
        <f t="shared" si="19"/>
        <v>306489.52777777775</v>
      </c>
      <c r="F115" s="161">
        <f t="shared" si="11"/>
        <v>6298359.7958333306</v>
      </c>
      <c r="G115" s="161">
        <f t="shared" si="12"/>
        <v>6451604.5597222196</v>
      </c>
      <c r="H115" s="165">
        <f t="shared" si="13"/>
        <v>987536.70572086493</v>
      </c>
      <c r="I115" s="299">
        <f t="shared" si="14"/>
        <v>987536.70572086493</v>
      </c>
      <c r="J115" s="160">
        <f t="shared" si="15"/>
        <v>0</v>
      </c>
      <c r="K115" s="160"/>
      <c r="L115" s="316"/>
      <c r="M115" s="160">
        <f t="shared" si="16"/>
        <v>0</v>
      </c>
      <c r="N115" s="316"/>
      <c r="O115" s="160">
        <f t="shared" si="17"/>
        <v>0</v>
      </c>
      <c r="P115" s="160">
        <f t="shared" si="18"/>
        <v>0</v>
      </c>
      <c r="Q115" s="1"/>
      <c r="R115" s="1"/>
      <c r="S115" s="1"/>
      <c r="T115" s="1"/>
      <c r="U115" s="1"/>
    </row>
    <row r="116" spans="2:21">
      <c r="B116" t="str">
        <f t="shared" si="10"/>
        <v/>
      </c>
      <c r="C116" s="155">
        <f>IF(D94="","-",+C115+1)</f>
        <v>2033</v>
      </c>
      <c r="D116" s="156">
        <f>IF(F115+SUM(E$100:E115)=D$93,F115,D$93-SUM(E$100:E115))</f>
        <v>6298359.7958333306</v>
      </c>
      <c r="E116" s="162">
        <f t="shared" si="19"/>
        <v>306489.52777777775</v>
      </c>
      <c r="F116" s="161">
        <f t="shared" si="11"/>
        <v>5991870.2680555526</v>
      </c>
      <c r="G116" s="161">
        <f t="shared" si="12"/>
        <v>6145115.0319444416</v>
      </c>
      <c r="H116" s="165">
        <f t="shared" si="13"/>
        <v>955182.92054542131</v>
      </c>
      <c r="I116" s="299">
        <f t="shared" si="14"/>
        <v>955182.92054542131</v>
      </c>
      <c r="J116" s="160">
        <f t="shared" si="15"/>
        <v>0</v>
      </c>
      <c r="K116" s="160"/>
      <c r="L116" s="316"/>
      <c r="M116" s="160">
        <f t="shared" si="16"/>
        <v>0</v>
      </c>
      <c r="N116" s="316"/>
      <c r="O116" s="160">
        <f t="shared" si="17"/>
        <v>0</v>
      </c>
      <c r="P116" s="160">
        <f t="shared" si="18"/>
        <v>0</v>
      </c>
      <c r="Q116" s="1"/>
      <c r="R116" s="1"/>
      <c r="S116" s="1"/>
      <c r="T116" s="1"/>
      <c r="U116" s="1"/>
    </row>
    <row r="117" spans="2:21">
      <c r="B117" t="str">
        <f t="shared" si="10"/>
        <v/>
      </c>
      <c r="C117" s="155">
        <f>IF(D94="","-",+C116+1)</f>
        <v>2034</v>
      </c>
      <c r="D117" s="156">
        <f>IF(F116+SUM(E$100:E116)=D$93,F116,D$93-SUM(E$100:E116))</f>
        <v>5991870.2680555526</v>
      </c>
      <c r="E117" s="162">
        <f t="shared" si="19"/>
        <v>306489.52777777775</v>
      </c>
      <c r="F117" s="161">
        <f t="shared" si="11"/>
        <v>5685380.7402777746</v>
      </c>
      <c r="G117" s="161">
        <f t="shared" si="12"/>
        <v>5838625.5041666636</v>
      </c>
      <c r="H117" s="165">
        <f t="shared" si="13"/>
        <v>922829.1353699778</v>
      </c>
      <c r="I117" s="299">
        <f t="shared" si="14"/>
        <v>922829.1353699778</v>
      </c>
      <c r="J117" s="160">
        <f t="shared" si="15"/>
        <v>0</v>
      </c>
      <c r="K117" s="160"/>
      <c r="L117" s="316"/>
      <c r="M117" s="160">
        <f t="shared" si="16"/>
        <v>0</v>
      </c>
      <c r="N117" s="316"/>
      <c r="O117" s="160">
        <f t="shared" si="17"/>
        <v>0</v>
      </c>
      <c r="P117" s="160">
        <f t="shared" si="18"/>
        <v>0</v>
      </c>
      <c r="Q117" s="1"/>
      <c r="R117" s="1"/>
      <c r="S117" s="1"/>
      <c r="T117" s="1"/>
      <c r="U117" s="1"/>
    </row>
    <row r="118" spans="2:21">
      <c r="B118" t="str">
        <f t="shared" si="10"/>
        <v/>
      </c>
      <c r="C118" s="155">
        <f>IF(D94="","-",+C117+1)</f>
        <v>2035</v>
      </c>
      <c r="D118" s="156">
        <f>IF(F117+SUM(E$100:E117)=D$93,F117,D$93-SUM(E$100:E117))</f>
        <v>5685380.7402777746</v>
      </c>
      <c r="E118" s="162">
        <f t="shared" si="19"/>
        <v>306489.52777777775</v>
      </c>
      <c r="F118" s="161">
        <f t="shared" si="11"/>
        <v>5378891.2124999966</v>
      </c>
      <c r="G118" s="161">
        <f t="shared" si="12"/>
        <v>5532135.9763888856</v>
      </c>
      <c r="H118" s="165">
        <f t="shared" si="13"/>
        <v>890475.35019453417</v>
      </c>
      <c r="I118" s="299">
        <f t="shared" si="14"/>
        <v>890475.35019453417</v>
      </c>
      <c r="J118" s="160">
        <f t="shared" si="15"/>
        <v>0</v>
      </c>
      <c r="K118" s="160"/>
      <c r="L118" s="316"/>
      <c r="M118" s="160">
        <f t="shared" si="16"/>
        <v>0</v>
      </c>
      <c r="N118" s="316"/>
      <c r="O118" s="160">
        <f t="shared" si="17"/>
        <v>0</v>
      </c>
      <c r="P118" s="160">
        <f t="shared" si="18"/>
        <v>0</v>
      </c>
      <c r="Q118" s="1"/>
      <c r="R118" s="1"/>
      <c r="S118" s="1"/>
      <c r="T118" s="1"/>
      <c r="U118" s="1"/>
    </row>
    <row r="119" spans="2:21">
      <c r="B119" t="str">
        <f t="shared" si="10"/>
        <v/>
      </c>
      <c r="C119" s="155">
        <f>IF(D94="","-",+C118+1)</f>
        <v>2036</v>
      </c>
      <c r="D119" s="156">
        <f>IF(F118+SUM(E$100:E118)=D$93,F118,D$93-SUM(E$100:E118))</f>
        <v>5378891.2124999966</v>
      </c>
      <c r="E119" s="162">
        <f t="shared" si="19"/>
        <v>306489.52777777775</v>
      </c>
      <c r="F119" s="161">
        <f t="shared" si="11"/>
        <v>5072401.6847222187</v>
      </c>
      <c r="G119" s="161">
        <f t="shared" si="12"/>
        <v>5225646.4486111077</v>
      </c>
      <c r="H119" s="165">
        <f t="shared" si="13"/>
        <v>858121.56501909054</v>
      </c>
      <c r="I119" s="299">
        <f t="shared" si="14"/>
        <v>858121.56501909054</v>
      </c>
      <c r="J119" s="160">
        <f t="shared" si="15"/>
        <v>0</v>
      </c>
      <c r="K119" s="160"/>
      <c r="L119" s="316"/>
      <c r="M119" s="160">
        <f t="shared" si="16"/>
        <v>0</v>
      </c>
      <c r="N119" s="316"/>
      <c r="O119" s="160">
        <f t="shared" si="17"/>
        <v>0</v>
      </c>
      <c r="P119" s="160">
        <f t="shared" si="18"/>
        <v>0</v>
      </c>
      <c r="Q119" s="1"/>
      <c r="R119" s="1"/>
      <c r="S119" s="1"/>
      <c r="T119" s="1"/>
      <c r="U119" s="1"/>
    </row>
    <row r="120" spans="2:21">
      <c r="B120" t="str">
        <f t="shared" si="10"/>
        <v/>
      </c>
      <c r="C120" s="155">
        <f>IF(D94="","-",+C119+1)</f>
        <v>2037</v>
      </c>
      <c r="D120" s="156">
        <f>IF(F119+SUM(E$100:E119)=D$93,F119,D$93-SUM(E$100:E119))</f>
        <v>5072401.6847222187</v>
      </c>
      <c r="E120" s="162">
        <f t="shared" si="19"/>
        <v>306489.52777777775</v>
      </c>
      <c r="F120" s="161">
        <f t="shared" si="11"/>
        <v>4765912.1569444407</v>
      </c>
      <c r="G120" s="161">
        <f t="shared" si="12"/>
        <v>4919156.9208333297</v>
      </c>
      <c r="H120" s="165">
        <f t="shared" si="13"/>
        <v>825767.77984364692</v>
      </c>
      <c r="I120" s="299">
        <f t="shared" si="14"/>
        <v>825767.77984364692</v>
      </c>
      <c r="J120" s="160">
        <f t="shared" si="15"/>
        <v>0</v>
      </c>
      <c r="K120" s="160"/>
      <c r="L120" s="316"/>
      <c r="M120" s="160">
        <f t="shared" si="16"/>
        <v>0</v>
      </c>
      <c r="N120" s="316"/>
      <c r="O120" s="160">
        <f t="shared" si="17"/>
        <v>0</v>
      </c>
      <c r="P120" s="160">
        <f t="shared" si="18"/>
        <v>0</v>
      </c>
      <c r="Q120" s="1"/>
      <c r="R120" s="1"/>
      <c r="S120" s="1"/>
      <c r="T120" s="1"/>
      <c r="U120" s="1"/>
    </row>
    <row r="121" spans="2:21">
      <c r="B121" t="str">
        <f t="shared" si="10"/>
        <v/>
      </c>
      <c r="C121" s="155">
        <f>IF(D94="","-",+C120+1)</f>
        <v>2038</v>
      </c>
      <c r="D121" s="156">
        <f>IF(F120+SUM(E$100:E120)=D$93,F120,D$93-SUM(E$100:E120))</f>
        <v>4765912.1569444407</v>
      </c>
      <c r="E121" s="162">
        <f t="shared" si="19"/>
        <v>306489.52777777775</v>
      </c>
      <c r="F121" s="161">
        <f t="shared" si="11"/>
        <v>4459422.6291666627</v>
      </c>
      <c r="G121" s="161">
        <f t="shared" si="12"/>
        <v>4612667.3930555517</v>
      </c>
      <c r="H121" s="165">
        <f t="shared" si="13"/>
        <v>793413.99466820329</v>
      </c>
      <c r="I121" s="299">
        <f t="shared" si="14"/>
        <v>793413.99466820329</v>
      </c>
      <c r="J121" s="160">
        <f t="shared" si="15"/>
        <v>0</v>
      </c>
      <c r="K121" s="160"/>
      <c r="L121" s="316"/>
      <c r="M121" s="160">
        <f t="shared" si="16"/>
        <v>0</v>
      </c>
      <c r="N121" s="316"/>
      <c r="O121" s="160">
        <f t="shared" si="17"/>
        <v>0</v>
      </c>
      <c r="P121" s="160">
        <f t="shared" si="18"/>
        <v>0</v>
      </c>
      <c r="Q121" s="1"/>
      <c r="R121" s="1"/>
      <c r="S121" s="1"/>
      <c r="T121" s="1"/>
      <c r="U121" s="1"/>
    </row>
    <row r="122" spans="2:21">
      <c r="B122" t="str">
        <f t="shared" si="10"/>
        <v/>
      </c>
      <c r="C122" s="155">
        <f>IF(D94="","-",+C121+1)</f>
        <v>2039</v>
      </c>
      <c r="D122" s="156">
        <f>IF(F121+SUM(E$100:E121)=D$93,F121,D$93-SUM(E$100:E121))</f>
        <v>4459422.6291666627</v>
      </c>
      <c r="E122" s="162">
        <f t="shared" si="19"/>
        <v>306489.52777777775</v>
      </c>
      <c r="F122" s="161">
        <f t="shared" si="11"/>
        <v>4152933.1013888847</v>
      </c>
      <c r="G122" s="161">
        <f t="shared" si="12"/>
        <v>4306177.8652777737</v>
      </c>
      <c r="H122" s="165">
        <f t="shared" si="13"/>
        <v>761060.20949275978</v>
      </c>
      <c r="I122" s="299">
        <f t="shared" si="14"/>
        <v>761060.20949275978</v>
      </c>
      <c r="J122" s="160">
        <f t="shared" si="15"/>
        <v>0</v>
      </c>
      <c r="K122" s="160"/>
      <c r="L122" s="316"/>
      <c r="M122" s="160">
        <f t="shared" si="16"/>
        <v>0</v>
      </c>
      <c r="N122" s="316"/>
      <c r="O122" s="160">
        <f t="shared" si="17"/>
        <v>0</v>
      </c>
      <c r="P122" s="160">
        <f t="shared" si="18"/>
        <v>0</v>
      </c>
      <c r="Q122" s="1"/>
      <c r="R122" s="1"/>
      <c r="S122" s="1"/>
      <c r="T122" s="1"/>
      <c r="U122" s="1"/>
    </row>
    <row r="123" spans="2:21">
      <c r="B123" t="str">
        <f t="shared" si="10"/>
        <v/>
      </c>
      <c r="C123" s="155">
        <f>IF(D94="","-",+C122+1)</f>
        <v>2040</v>
      </c>
      <c r="D123" s="156">
        <f>IF(F122+SUM(E$100:E122)=D$93,F122,D$93-SUM(E$100:E122))</f>
        <v>4152933.1013888847</v>
      </c>
      <c r="E123" s="162">
        <f t="shared" si="19"/>
        <v>306489.52777777775</v>
      </c>
      <c r="F123" s="161">
        <f t="shared" si="11"/>
        <v>3846443.5736111067</v>
      </c>
      <c r="G123" s="161">
        <f t="shared" si="12"/>
        <v>3999688.3374999957</v>
      </c>
      <c r="H123" s="165">
        <f t="shared" si="13"/>
        <v>728706.42431731615</v>
      </c>
      <c r="I123" s="299">
        <f t="shared" si="14"/>
        <v>728706.42431731615</v>
      </c>
      <c r="J123" s="160">
        <f t="shared" si="15"/>
        <v>0</v>
      </c>
      <c r="K123" s="160"/>
      <c r="L123" s="316"/>
      <c r="M123" s="160">
        <f t="shared" si="16"/>
        <v>0</v>
      </c>
      <c r="N123" s="316"/>
      <c r="O123" s="160">
        <f t="shared" si="17"/>
        <v>0</v>
      </c>
      <c r="P123" s="160">
        <f t="shared" si="18"/>
        <v>0</v>
      </c>
      <c r="Q123" s="1"/>
      <c r="R123" s="1"/>
      <c r="S123" s="1"/>
      <c r="T123" s="1"/>
      <c r="U123" s="1"/>
    </row>
    <row r="124" spans="2:21">
      <c r="B124" t="str">
        <f t="shared" si="10"/>
        <v/>
      </c>
      <c r="C124" s="155">
        <f>IF(D94="","-",+C123+1)</f>
        <v>2041</v>
      </c>
      <c r="D124" s="156">
        <f>IF(F123+SUM(E$100:E123)=D$93,F123,D$93-SUM(E$100:E123))</f>
        <v>3846443.5736111067</v>
      </c>
      <c r="E124" s="162">
        <f t="shared" si="19"/>
        <v>306489.52777777775</v>
      </c>
      <c r="F124" s="161">
        <f t="shared" si="11"/>
        <v>3539954.0458333287</v>
      </c>
      <c r="G124" s="161">
        <f t="shared" si="12"/>
        <v>3693198.8097222177</v>
      </c>
      <c r="H124" s="165">
        <f t="shared" si="13"/>
        <v>696352.63914187253</v>
      </c>
      <c r="I124" s="299">
        <f t="shared" si="14"/>
        <v>696352.63914187253</v>
      </c>
      <c r="J124" s="160">
        <f t="shared" si="15"/>
        <v>0</v>
      </c>
      <c r="K124" s="160"/>
      <c r="L124" s="316"/>
      <c r="M124" s="160">
        <f t="shared" si="16"/>
        <v>0</v>
      </c>
      <c r="N124" s="316"/>
      <c r="O124" s="160">
        <f t="shared" si="17"/>
        <v>0</v>
      </c>
      <c r="P124" s="160">
        <f t="shared" si="18"/>
        <v>0</v>
      </c>
      <c r="Q124" s="1"/>
      <c r="R124" s="1"/>
      <c r="S124" s="1"/>
      <c r="T124" s="1"/>
      <c r="U124" s="1"/>
    </row>
    <row r="125" spans="2:21">
      <c r="B125" t="str">
        <f t="shared" si="10"/>
        <v/>
      </c>
      <c r="C125" s="155">
        <f>IF(D94="","-",+C124+1)</f>
        <v>2042</v>
      </c>
      <c r="D125" s="156">
        <f>IF(F124+SUM(E$100:E124)=D$93,F124,D$93-SUM(E$100:E124))</f>
        <v>3539954.0458333287</v>
      </c>
      <c r="E125" s="162">
        <f t="shared" si="19"/>
        <v>306489.52777777775</v>
      </c>
      <c r="F125" s="161">
        <f t="shared" si="11"/>
        <v>3233464.5180555508</v>
      </c>
      <c r="G125" s="161">
        <f t="shared" si="12"/>
        <v>3386709.2819444397</v>
      </c>
      <c r="H125" s="165">
        <f t="shared" si="13"/>
        <v>663998.8539664289</v>
      </c>
      <c r="I125" s="299">
        <f t="shared" si="14"/>
        <v>663998.8539664289</v>
      </c>
      <c r="J125" s="160">
        <f t="shared" si="15"/>
        <v>0</v>
      </c>
      <c r="K125" s="160"/>
      <c r="L125" s="316"/>
      <c r="M125" s="160">
        <f t="shared" si="16"/>
        <v>0</v>
      </c>
      <c r="N125" s="316"/>
      <c r="O125" s="160">
        <f t="shared" si="17"/>
        <v>0</v>
      </c>
      <c r="P125" s="160">
        <f t="shared" si="18"/>
        <v>0</v>
      </c>
      <c r="Q125" s="1"/>
      <c r="R125" s="1"/>
      <c r="S125" s="1"/>
      <c r="T125" s="1"/>
      <c r="U125" s="1"/>
    </row>
    <row r="126" spans="2:21">
      <c r="B126" t="str">
        <f t="shared" si="10"/>
        <v/>
      </c>
      <c r="C126" s="155">
        <f>IF(D94="","-",+C125+1)</f>
        <v>2043</v>
      </c>
      <c r="D126" s="156">
        <f>IF(F125+SUM(E$100:E125)=D$93,F125,D$93-SUM(E$100:E125))</f>
        <v>3233464.5180555508</v>
      </c>
      <c r="E126" s="162">
        <f t="shared" si="19"/>
        <v>306489.52777777775</v>
      </c>
      <c r="F126" s="161">
        <f t="shared" si="11"/>
        <v>2926974.9902777728</v>
      </c>
      <c r="G126" s="161">
        <f t="shared" si="12"/>
        <v>3080219.7541666618</v>
      </c>
      <c r="H126" s="165">
        <f t="shared" si="13"/>
        <v>631645.06879098527</v>
      </c>
      <c r="I126" s="299">
        <f t="shared" si="14"/>
        <v>631645.06879098527</v>
      </c>
      <c r="J126" s="160">
        <f t="shared" si="15"/>
        <v>0</v>
      </c>
      <c r="K126" s="160"/>
      <c r="L126" s="316"/>
      <c r="M126" s="160">
        <f t="shared" si="16"/>
        <v>0</v>
      </c>
      <c r="N126" s="316"/>
      <c r="O126" s="160">
        <f t="shared" si="17"/>
        <v>0</v>
      </c>
      <c r="P126" s="160">
        <f t="shared" si="18"/>
        <v>0</v>
      </c>
      <c r="Q126" s="1"/>
      <c r="R126" s="1"/>
      <c r="S126" s="1"/>
      <c r="T126" s="1"/>
      <c r="U126" s="1"/>
    </row>
    <row r="127" spans="2:21">
      <c r="B127" t="str">
        <f t="shared" si="10"/>
        <v/>
      </c>
      <c r="C127" s="155">
        <f>IF(D94="","-",+C126+1)</f>
        <v>2044</v>
      </c>
      <c r="D127" s="156">
        <f>IF(F126+SUM(E$100:E126)=D$93,F126,D$93-SUM(E$100:E126))</f>
        <v>2926974.9902777728</v>
      </c>
      <c r="E127" s="162">
        <f t="shared" si="19"/>
        <v>306489.52777777775</v>
      </c>
      <c r="F127" s="161">
        <f t="shared" si="11"/>
        <v>2620485.4624999948</v>
      </c>
      <c r="G127" s="161">
        <f t="shared" si="12"/>
        <v>2773730.2263888838</v>
      </c>
      <c r="H127" s="165">
        <f t="shared" si="13"/>
        <v>599291.28361554164</v>
      </c>
      <c r="I127" s="299">
        <f t="shared" si="14"/>
        <v>599291.28361554164</v>
      </c>
      <c r="J127" s="160">
        <f t="shared" si="15"/>
        <v>0</v>
      </c>
      <c r="K127" s="160"/>
      <c r="L127" s="316"/>
      <c r="M127" s="160">
        <f t="shared" si="16"/>
        <v>0</v>
      </c>
      <c r="N127" s="316"/>
      <c r="O127" s="160">
        <f t="shared" si="17"/>
        <v>0</v>
      </c>
      <c r="P127" s="160">
        <f t="shared" si="18"/>
        <v>0</v>
      </c>
      <c r="Q127" s="1"/>
      <c r="R127" s="1"/>
      <c r="S127" s="1"/>
      <c r="T127" s="1"/>
      <c r="U127" s="1"/>
    </row>
    <row r="128" spans="2:21">
      <c r="B128" t="str">
        <f t="shared" si="10"/>
        <v/>
      </c>
      <c r="C128" s="155">
        <f>IF(D94="","-",+C127+1)</f>
        <v>2045</v>
      </c>
      <c r="D128" s="156">
        <f>IF(F127+SUM(E$100:E127)=D$93,F127,D$93-SUM(E$100:E127))</f>
        <v>2620485.4624999948</v>
      </c>
      <c r="E128" s="162">
        <f t="shared" si="19"/>
        <v>306489.52777777775</v>
      </c>
      <c r="F128" s="161">
        <f t="shared" si="11"/>
        <v>2313995.9347222168</v>
      </c>
      <c r="G128" s="161">
        <f t="shared" si="12"/>
        <v>2467240.6986111058</v>
      </c>
      <c r="H128" s="165">
        <f t="shared" si="13"/>
        <v>566937.49844009802</v>
      </c>
      <c r="I128" s="299">
        <f t="shared" si="14"/>
        <v>566937.49844009802</v>
      </c>
      <c r="J128" s="160">
        <f t="shared" si="15"/>
        <v>0</v>
      </c>
      <c r="K128" s="160"/>
      <c r="L128" s="316"/>
      <c r="M128" s="160">
        <f t="shared" si="16"/>
        <v>0</v>
      </c>
      <c r="N128" s="316"/>
      <c r="O128" s="160">
        <f t="shared" si="17"/>
        <v>0</v>
      </c>
      <c r="P128" s="160">
        <f t="shared" si="18"/>
        <v>0</v>
      </c>
      <c r="Q128" s="1"/>
      <c r="R128" s="1"/>
      <c r="S128" s="1"/>
      <c r="T128" s="1"/>
      <c r="U128" s="1"/>
    </row>
    <row r="129" spans="2:21">
      <c r="B129" t="str">
        <f t="shared" si="10"/>
        <v/>
      </c>
      <c r="C129" s="155">
        <f>IF(D94="","-",+C128+1)</f>
        <v>2046</v>
      </c>
      <c r="D129" s="156">
        <f>IF(F128+SUM(E$100:E128)=D$93,F128,D$93-SUM(E$100:E128))</f>
        <v>2313995.9347222168</v>
      </c>
      <c r="E129" s="162">
        <f t="shared" si="19"/>
        <v>306489.52777777775</v>
      </c>
      <c r="F129" s="161">
        <f t="shared" si="11"/>
        <v>2007506.406944439</v>
      </c>
      <c r="G129" s="161">
        <f t="shared" si="12"/>
        <v>2160751.1708333278</v>
      </c>
      <c r="H129" s="165">
        <f t="shared" si="13"/>
        <v>534583.71326465439</v>
      </c>
      <c r="I129" s="299">
        <f t="shared" si="14"/>
        <v>534583.71326465439</v>
      </c>
      <c r="J129" s="160">
        <f t="shared" si="15"/>
        <v>0</v>
      </c>
      <c r="K129" s="160"/>
      <c r="L129" s="316"/>
      <c r="M129" s="160">
        <f t="shared" si="16"/>
        <v>0</v>
      </c>
      <c r="N129" s="316"/>
      <c r="O129" s="160">
        <f t="shared" si="17"/>
        <v>0</v>
      </c>
      <c r="P129" s="160">
        <f t="shared" si="18"/>
        <v>0</v>
      </c>
      <c r="Q129" s="1"/>
      <c r="R129" s="1"/>
      <c r="S129" s="1"/>
      <c r="T129" s="1"/>
      <c r="U129" s="1"/>
    </row>
    <row r="130" spans="2:21">
      <c r="B130" t="str">
        <f t="shared" si="10"/>
        <v/>
      </c>
      <c r="C130" s="155">
        <f>IF(D94="","-",+C129+1)</f>
        <v>2047</v>
      </c>
      <c r="D130" s="156">
        <f>IF(F129+SUM(E$100:E129)=D$93,F129,D$93-SUM(E$100:E129))</f>
        <v>2007506.406944439</v>
      </c>
      <c r="E130" s="162">
        <f t="shared" si="19"/>
        <v>306489.52777777775</v>
      </c>
      <c r="F130" s="161">
        <f t="shared" si="11"/>
        <v>1701016.8791666613</v>
      </c>
      <c r="G130" s="161">
        <f t="shared" si="12"/>
        <v>1854261.6430555503</v>
      </c>
      <c r="H130" s="165">
        <f t="shared" si="13"/>
        <v>502229.92808921088</v>
      </c>
      <c r="I130" s="299">
        <f t="shared" si="14"/>
        <v>502229.92808921088</v>
      </c>
      <c r="J130" s="160">
        <f t="shared" si="15"/>
        <v>0</v>
      </c>
      <c r="K130" s="160"/>
      <c r="L130" s="316"/>
      <c r="M130" s="160">
        <f t="shared" si="16"/>
        <v>0</v>
      </c>
      <c r="N130" s="316"/>
      <c r="O130" s="160">
        <f t="shared" si="17"/>
        <v>0</v>
      </c>
      <c r="P130" s="160">
        <f t="shared" si="18"/>
        <v>0</v>
      </c>
      <c r="Q130" s="1"/>
      <c r="R130" s="1"/>
      <c r="S130" s="1"/>
      <c r="T130" s="1"/>
      <c r="U130" s="1"/>
    </row>
    <row r="131" spans="2:21">
      <c r="B131" t="str">
        <f t="shared" si="10"/>
        <v/>
      </c>
      <c r="C131" s="155">
        <f>IF(D94="","-",+C130+1)</f>
        <v>2048</v>
      </c>
      <c r="D131" s="156">
        <f>IF(F130+SUM(E$100:E130)=D$93,F130,D$93-SUM(E$100:E130))</f>
        <v>1701016.8791666613</v>
      </c>
      <c r="E131" s="162">
        <f t="shared" si="19"/>
        <v>306489.52777777775</v>
      </c>
      <c r="F131" s="161">
        <f t="shared" si="11"/>
        <v>1394527.3513888835</v>
      </c>
      <c r="G131" s="161">
        <f t="shared" si="12"/>
        <v>1547772.1152777723</v>
      </c>
      <c r="H131" s="165">
        <f t="shared" si="13"/>
        <v>469876.14291376725</v>
      </c>
      <c r="I131" s="299">
        <f t="shared" si="14"/>
        <v>469876.14291376725</v>
      </c>
      <c r="J131" s="160">
        <f t="shared" si="15"/>
        <v>0</v>
      </c>
      <c r="K131" s="160"/>
      <c r="L131" s="316"/>
      <c r="M131" s="160">
        <f t="shared" si="16"/>
        <v>0</v>
      </c>
      <c r="N131" s="316"/>
      <c r="O131" s="160">
        <f t="shared" si="17"/>
        <v>0</v>
      </c>
      <c r="P131" s="160">
        <f t="shared" si="18"/>
        <v>0</v>
      </c>
      <c r="Q131" s="1"/>
      <c r="R131" s="1"/>
      <c r="S131" s="1"/>
      <c r="T131" s="1"/>
      <c r="U131" s="1"/>
    </row>
    <row r="132" spans="2:21">
      <c r="B132" t="str">
        <f t="shared" si="10"/>
        <v/>
      </c>
      <c r="C132" s="155">
        <f>IF(D94="","-",+C131+1)</f>
        <v>2049</v>
      </c>
      <c r="D132" s="156">
        <f>IF(F131+SUM(E$100:E131)=D$93,F131,D$93-SUM(E$100:E131))</f>
        <v>1394527.3513888835</v>
      </c>
      <c r="E132" s="162">
        <f t="shared" si="19"/>
        <v>306489.52777777775</v>
      </c>
      <c r="F132" s="161">
        <f t="shared" si="11"/>
        <v>1088037.8236111058</v>
      </c>
      <c r="G132" s="161">
        <f t="shared" si="12"/>
        <v>1241282.5874999948</v>
      </c>
      <c r="H132" s="165">
        <f t="shared" si="13"/>
        <v>437522.35773832374</v>
      </c>
      <c r="I132" s="299">
        <f t="shared" si="14"/>
        <v>437522.35773832374</v>
      </c>
      <c r="J132" s="160">
        <f t="shared" si="15"/>
        <v>0</v>
      </c>
      <c r="K132" s="160"/>
      <c r="L132" s="316"/>
      <c r="M132" s="160">
        <f t="shared" si="16"/>
        <v>0</v>
      </c>
      <c r="N132" s="316"/>
      <c r="O132" s="160">
        <f t="shared" si="17"/>
        <v>0</v>
      </c>
      <c r="P132" s="160">
        <f t="shared" si="18"/>
        <v>0</v>
      </c>
      <c r="Q132" s="1"/>
      <c r="R132" s="1"/>
      <c r="S132" s="1"/>
      <c r="T132" s="1"/>
      <c r="U132" s="1"/>
    </row>
    <row r="133" spans="2:21">
      <c r="B133" t="str">
        <f t="shared" si="10"/>
        <v/>
      </c>
      <c r="C133" s="155">
        <f>IF(D94="","-",+C132+1)</f>
        <v>2050</v>
      </c>
      <c r="D133" s="156">
        <f>IF(F132+SUM(E$100:E132)=D$93,F132,D$93-SUM(E$100:E132))</f>
        <v>1088037.8236111058</v>
      </c>
      <c r="E133" s="162">
        <f t="shared" si="19"/>
        <v>306489.52777777775</v>
      </c>
      <c r="F133" s="161">
        <f t="shared" si="11"/>
        <v>781548.29583332804</v>
      </c>
      <c r="G133" s="161">
        <f t="shared" si="12"/>
        <v>934793.05972221692</v>
      </c>
      <c r="H133" s="165">
        <f t="shared" si="13"/>
        <v>405168.57256288012</v>
      </c>
      <c r="I133" s="299">
        <f t="shared" si="14"/>
        <v>405168.57256288012</v>
      </c>
      <c r="J133" s="160">
        <f t="shared" si="15"/>
        <v>0</v>
      </c>
      <c r="K133" s="160"/>
      <c r="L133" s="316"/>
      <c r="M133" s="160">
        <f t="shared" si="16"/>
        <v>0</v>
      </c>
      <c r="N133" s="316"/>
      <c r="O133" s="160">
        <f t="shared" si="17"/>
        <v>0</v>
      </c>
      <c r="P133" s="160">
        <f t="shared" si="18"/>
        <v>0</v>
      </c>
      <c r="Q133" s="1"/>
      <c r="R133" s="1"/>
      <c r="S133" s="1"/>
      <c r="T133" s="1"/>
      <c r="U133" s="1"/>
    </row>
    <row r="134" spans="2:21">
      <c r="B134" t="str">
        <f t="shared" si="10"/>
        <v/>
      </c>
      <c r="C134" s="155">
        <f>IF(D94="","-",+C133+1)</f>
        <v>2051</v>
      </c>
      <c r="D134" s="156">
        <f>IF(F133+SUM(E$100:E133)=D$93,F133,D$93-SUM(E$100:E133))</f>
        <v>781548.29583332804</v>
      </c>
      <c r="E134" s="162">
        <f t="shared" si="19"/>
        <v>306489.52777777775</v>
      </c>
      <c r="F134" s="161">
        <f t="shared" si="11"/>
        <v>475058.76805555029</v>
      </c>
      <c r="G134" s="161">
        <f t="shared" si="12"/>
        <v>628303.53194443916</v>
      </c>
      <c r="H134" s="165">
        <f t="shared" si="13"/>
        <v>372814.78738743655</v>
      </c>
      <c r="I134" s="299">
        <f t="shared" si="14"/>
        <v>372814.78738743655</v>
      </c>
      <c r="J134" s="160">
        <f t="shared" si="15"/>
        <v>0</v>
      </c>
      <c r="K134" s="160"/>
      <c r="L134" s="316"/>
      <c r="M134" s="160">
        <f t="shared" si="16"/>
        <v>0</v>
      </c>
      <c r="N134" s="316"/>
      <c r="O134" s="160">
        <f t="shared" si="17"/>
        <v>0</v>
      </c>
      <c r="P134" s="160">
        <f t="shared" si="18"/>
        <v>0</v>
      </c>
      <c r="Q134" s="1"/>
      <c r="R134" s="1"/>
      <c r="S134" s="1"/>
      <c r="T134" s="1"/>
      <c r="U134" s="1"/>
    </row>
    <row r="135" spans="2:21">
      <c r="B135" t="str">
        <f t="shared" si="10"/>
        <v/>
      </c>
      <c r="C135" s="155">
        <f>IF(D94="","-",+C134+1)</f>
        <v>2052</v>
      </c>
      <c r="D135" s="156">
        <f>IF(F134+SUM(E$100:E134)=D$93,F134,D$93-SUM(E$100:E134))</f>
        <v>475058.76805555029</v>
      </c>
      <c r="E135" s="162">
        <f t="shared" ref="E135:E155" si="20">IF(+J$97&lt;F134,J$97,D135)</f>
        <v>306489.52777777775</v>
      </c>
      <c r="F135" s="161">
        <f t="shared" si="11"/>
        <v>168569.24027777254</v>
      </c>
      <c r="G135" s="161">
        <f t="shared" si="12"/>
        <v>321814.00416666141</v>
      </c>
      <c r="H135" s="165">
        <f t="shared" si="13"/>
        <v>340461.00221199298</v>
      </c>
      <c r="I135" s="299">
        <f t="shared" si="14"/>
        <v>340461.00221199298</v>
      </c>
      <c r="J135" s="160">
        <f t="shared" si="15"/>
        <v>0</v>
      </c>
      <c r="K135" s="160"/>
      <c r="L135" s="316"/>
      <c r="M135" s="160">
        <f t="shared" si="16"/>
        <v>0</v>
      </c>
      <c r="N135" s="316"/>
      <c r="O135" s="160">
        <f t="shared" si="17"/>
        <v>0</v>
      </c>
      <c r="P135" s="160">
        <f t="shared" si="18"/>
        <v>0</v>
      </c>
      <c r="Q135" s="1"/>
      <c r="R135" s="1"/>
      <c r="S135" s="1"/>
      <c r="T135" s="1"/>
      <c r="U135" s="1"/>
    </row>
    <row r="136" spans="2:21">
      <c r="B136" t="str">
        <f t="shared" si="10"/>
        <v/>
      </c>
      <c r="C136" s="155">
        <f>IF(D94="","-",+C135+1)</f>
        <v>2053</v>
      </c>
      <c r="D136" s="156">
        <f>IF(F135+SUM(E$100:E135)=D$93,F135,D$93-SUM(E$100:E135))</f>
        <v>168569.24027777254</v>
      </c>
      <c r="E136" s="162">
        <f t="shared" si="20"/>
        <v>168569.24027777254</v>
      </c>
      <c r="F136" s="161">
        <f t="shared" si="11"/>
        <v>0</v>
      </c>
      <c r="G136" s="161">
        <f t="shared" si="12"/>
        <v>84284.620138886268</v>
      </c>
      <c r="H136" s="165">
        <f t="shared" si="13"/>
        <v>177466.53120101924</v>
      </c>
      <c r="I136" s="299">
        <f t="shared" si="14"/>
        <v>177466.53120101924</v>
      </c>
      <c r="J136" s="160">
        <f t="shared" si="15"/>
        <v>0</v>
      </c>
      <c r="K136" s="160"/>
      <c r="L136" s="316"/>
      <c r="M136" s="160">
        <f t="shared" si="16"/>
        <v>0</v>
      </c>
      <c r="N136" s="316"/>
      <c r="O136" s="160">
        <f t="shared" si="17"/>
        <v>0</v>
      </c>
      <c r="P136" s="160">
        <f t="shared" si="18"/>
        <v>0</v>
      </c>
      <c r="Q136" s="1"/>
      <c r="R136" s="1"/>
      <c r="S136" s="1"/>
      <c r="T136" s="1"/>
      <c r="U136" s="1"/>
    </row>
    <row r="137" spans="2:21">
      <c r="B137" t="str">
        <f t="shared" si="10"/>
        <v/>
      </c>
      <c r="C137" s="155">
        <f>IF(D94="","-",+C136+1)</f>
        <v>2054</v>
      </c>
      <c r="D137" s="156">
        <f>IF(F136+SUM(E$100:E136)=D$93,F136,D$93-SUM(E$100:E136))</f>
        <v>0</v>
      </c>
      <c r="E137" s="162">
        <f t="shared" si="20"/>
        <v>0</v>
      </c>
      <c r="F137" s="161">
        <f t="shared" si="11"/>
        <v>0</v>
      </c>
      <c r="G137" s="161">
        <f t="shared" si="12"/>
        <v>0</v>
      </c>
      <c r="H137" s="165">
        <f t="shared" si="13"/>
        <v>0</v>
      </c>
      <c r="I137" s="299">
        <f t="shared" si="14"/>
        <v>0</v>
      </c>
      <c r="J137" s="160">
        <f t="shared" si="15"/>
        <v>0</v>
      </c>
      <c r="K137" s="160"/>
      <c r="L137" s="316"/>
      <c r="M137" s="160">
        <f t="shared" si="16"/>
        <v>0</v>
      </c>
      <c r="N137" s="316"/>
      <c r="O137" s="160">
        <f t="shared" si="17"/>
        <v>0</v>
      </c>
      <c r="P137" s="160">
        <f t="shared" si="18"/>
        <v>0</v>
      </c>
      <c r="Q137" s="1"/>
      <c r="R137" s="1"/>
      <c r="S137" s="1"/>
      <c r="T137" s="1"/>
      <c r="U137" s="1"/>
    </row>
    <row r="138" spans="2:21">
      <c r="B138" t="str">
        <f t="shared" si="10"/>
        <v/>
      </c>
      <c r="C138" s="155">
        <f>IF(D94="","-",+C137+1)</f>
        <v>2055</v>
      </c>
      <c r="D138" s="156">
        <f>IF(F137+SUM(E$100:E137)=D$93,F137,D$93-SUM(E$100:E137))</f>
        <v>0</v>
      </c>
      <c r="E138" s="162">
        <f t="shared" si="20"/>
        <v>0</v>
      </c>
      <c r="F138" s="161">
        <f t="shared" si="11"/>
        <v>0</v>
      </c>
      <c r="G138" s="161">
        <f t="shared" si="12"/>
        <v>0</v>
      </c>
      <c r="H138" s="165">
        <f t="shared" si="13"/>
        <v>0</v>
      </c>
      <c r="I138" s="299">
        <f t="shared" si="14"/>
        <v>0</v>
      </c>
      <c r="J138" s="160">
        <f t="shared" si="15"/>
        <v>0</v>
      </c>
      <c r="K138" s="160"/>
      <c r="L138" s="316"/>
      <c r="M138" s="160">
        <f t="shared" si="16"/>
        <v>0</v>
      </c>
      <c r="N138" s="316"/>
      <c r="O138" s="160">
        <f t="shared" si="17"/>
        <v>0</v>
      </c>
      <c r="P138" s="160">
        <f t="shared" si="18"/>
        <v>0</v>
      </c>
      <c r="Q138" s="1"/>
      <c r="R138" s="1"/>
      <c r="S138" s="1"/>
      <c r="T138" s="1"/>
      <c r="U138" s="1"/>
    </row>
    <row r="139" spans="2:21">
      <c r="B139" t="str">
        <f t="shared" si="10"/>
        <v/>
      </c>
      <c r="C139" s="155">
        <f>IF(D94="","-",+C138+1)</f>
        <v>2056</v>
      </c>
      <c r="D139" s="156">
        <f>IF(F138+SUM(E$100:E138)=D$93,F138,D$93-SUM(E$100:E138))</f>
        <v>0</v>
      </c>
      <c r="E139" s="162">
        <f t="shared" si="20"/>
        <v>0</v>
      </c>
      <c r="F139" s="161">
        <f t="shared" si="11"/>
        <v>0</v>
      </c>
      <c r="G139" s="161">
        <f t="shared" si="12"/>
        <v>0</v>
      </c>
      <c r="H139" s="165">
        <f t="shared" si="13"/>
        <v>0</v>
      </c>
      <c r="I139" s="299">
        <f t="shared" si="14"/>
        <v>0</v>
      </c>
      <c r="J139" s="160">
        <f t="shared" si="15"/>
        <v>0</v>
      </c>
      <c r="K139" s="160"/>
      <c r="L139" s="316"/>
      <c r="M139" s="160">
        <f t="shared" si="16"/>
        <v>0</v>
      </c>
      <c r="N139" s="316"/>
      <c r="O139" s="160">
        <f t="shared" si="17"/>
        <v>0</v>
      </c>
      <c r="P139" s="160">
        <f t="shared" si="18"/>
        <v>0</v>
      </c>
      <c r="Q139" s="1"/>
      <c r="R139" s="1"/>
      <c r="S139" s="1"/>
      <c r="T139" s="1"/>
      <c r="U139" s="1"/>
    </row>
    <row r="140" spans="2:21">
      <c r="B140" t="str">
        <f t="shared" si="10"/>
        <v/>
      </c>
      <c r="C140" s="155">
        <f>IF(D94="","-",+C139+1)</f>
        <v>2057</v>
      </c>
      <c r="D140" s="156">
        <f>IF(F139+SUM(E$100:E139)=D$93,F139,D$93-SUM(E$100:E139))</f>
        <v>0</v>
      </c>
      <c r="E140" s="162">
        <f t="shared" si="20"/>
        <v>0</v>
      </c>
      <c r="F140" s="161">
        <f t="shared" si="11"/>
        <v>0</v>
      </c>
      <c r="G140" s="161">
        <f t="shared" si="12"/>
        <v>0</v>
      </c>
      <c r="H140" s="165">
        <f t="shared" si="13"/>
        <v>0</v>
      </c>
      <c r="I140" s="299">
        <f t="shared" si="14"/>
        <v>0</v>
      </c>
      <c r="J140" s="160">
        <f t="shared" si="15"/>
        <v>0</v>
      </c>
      <c r="K140" s="160"/>
      <c r="L140" s="316"/>
      <c r="M140" s="160">
        <f t="shared" si="16"/>
        <v>0</v>
      </c>
      <c r="N140" s="316"/>
      <c r="O140" s="160">
        <f t="shared" si="17"/>
        <v>0</v>
      </c>
      <c r="P140" s="160">
        <f t="shared" si="18"/>
        <v>0</v>
      </c>
      <c r="Q140" s="1"/>
      <c r="R140" s="1"/>
      <c r="S140" s="1"/>
      <c r="T140" s="1"/>
      <c r="U140" s="1"/>
    </row>
    <row r="141" spans="2:21">
      <c r="B141" t="str">
        <f t="shared" si="10"/>
        <v/>
      </c>
      <c r="C141" s="155">
        <f>IF(D94="","-",+C140+1)</f>
        <v>2058</v>
      </c>
      <c r="D141" s="156">
        <f>IF(F140+SUM(E$100:E140)=D$93,F140,D$93-SUM(E$100:E140))</f>
        <v>0</v>
      </c>
      <c r="E141" s="162">
        <f t="shared" si="20"/>
        <v>0</v>
      </c>
      <c r="F141" s="161">
        <f t="shared" si="11"/>
        <v>0</v>
      </c>
      <c r="G141" s="161">
        <f t="shared" si="12"/>
        <v>0</v>
      </c>
      <c r="H141" s="165">
        <f t="shared" si="13"/>
        <v>0</v>
      </c>
      <c r="I141" s="299">
        <f t="shared" si="14"/>
        <v>0</v>
      </c>
      <c r="J141" s="160">
        <f t="shared" si="15"/>
        <v>0</v>
      </c>
      <c r="K141" s="160"/>
      <c r="L141" s="316"/>
      <c r="M141" s="160">
        <f t="shared" si="16"/>
        <v>0</v>
      </c>
      <c r="N141" s="316"/>
      <c r="O141" s="160">
        <f t="shared" si="17"/>
        <v>0</v>
      </c>
      <c r="P141" s="160">
        <f t="shared" si="18"/>
        <v>0</v>
      </c>
      <c r="Q141" s="1"/>
      <c r="R141" s="1"/>
      <c r="S141" s="1"/>
      <c r="T141" s="1"/>
      <c r="U141" s="1"/>
    </row>
    <row r="142" spans="2:21">
      <c r="B142" t="str">
        <f t="shared" si="10"/>
        <v/>
      </c>
      <c r="C142" s="155">
        <f>IF(D94="","-",+C141+1)</f>
        <v>2059</v>
      </c>
      <c r="D142" s="156">
        <f>IF(F141+SUM(E$100:E141)=D$93,F141,D$93-SUM(E$100:E141))</f>
        <v>0</v>
      </c>
      <c r="E142" s="162">
        <f t="shared" si="20"/>
        <v>0</v>
      </c>
      <c r="F142" s="161">
        <f t="shared" si="11"/>
        <v>0</v>
      </c>
      <c r="G142" s="161">
        <f t="shared" si="12"/>
        <v>0</v>
      </c>
      <c r="H142" s="165">
        <f t="shared" si="13"/>
        <v>0</v>
      </c>
      <c r="I142" s="299">
        <f t="shared" si="14"/>
        <v>0</v>
      </c>
      <c r="J142" s="160">
        <f t="shared" si="15"/>
        <v>0</v>
      </c>
      <c r="K142" s="160"/>
      <c r="L142" s="316"/>
      <c r="M142" s="160">
        <f t="shared" si="16"/>
        <v>0</v>
      </c>
      <c r="N142" s="316"/>
      <c r="O142" s="160">
        <f t="shared" si="17"/>
        <v>0</v>
      </c>
      <c r="P142" s="160">
        <f t="shared" si="18"/>
        <v>0</v>
      </c>
      <c r="Q142" s="1"/>
      <c r="R142" s="1"/>
      <c r="S142" s="1"/>
      <c r="T142" s="1"/>
      <c r="U142" s="1"/>
    </row>
    <row r="143" spans="2:21">
      <c r="B143" t="str">
        <f t="shared" si="10"/>
        <v/>
      </c>
      <c r="C143" s="155">
        <f>IF(D94="","-",+C142+1)</f>
        <v>2060</v>
      </c>
      <c r="D143" s="156">
        <f>IF(F142+SUM(E$100:E142)=D$93,F142,D$93-SUM(E$100:E142))</f>
        <v>0</v>
      </c>
      <c r="E143" s="162">
        <f t="shared" si="20"/>
        <v>0</v>
      </c>
      <c r="F143" s="161">
        <f t="shared" si="11"/>
        <v>0</v>
      </c>
      <c r="G143" s="161">
        <f t="shared" si="12"/>
        <v>0</v>
      </c>
      <c r="H143" s="165">
        <f t="shared" si="13"/>
        <v>0</v>
      </c>
      <c r="I143" s="299">
        <f t="shared" si="14"/>
        <v>0</v>
      </c>
      <c r="J143" s="160">
        <f t="shared" si="15"/>
        <v>0</v>
      </c>
      <c r="K143" s="160"/>
      <c r="L143" s="316"/>
      <c r="M143" s="160">
        <f t="shared" si="16"/>
        <v>0</v>
      </c>
      <c r="N143" s="316"/>
      <c r="O143" s="160">
        <f t="shared" si="17"/>
        <v>0</v>
      </c>
      <c r="P143" s="160">
        <f t="shared" si="18"/>
        <v>0</v>
      </c>
      <c r="Q143" s="1"/>
      <c r="R143" s="1"/>
      <c r="S143" s="1"/>
      <c r="T143" s="1"/>
      <c r="U143" s="1"/>
    </row>
    <row r="144" spans="2:21">
      <c r="B144" t="str">
        <f t="shared" si="10"/>
        <v/>
      </c>
      <c r="C144" s="155">
        <f>IF(D94="","-",+C143+1)</f>
        <v>2061</v>
      </c>
      <c r="D144" s="156">
        <f>IF(F143+SUM(E$100:E143)=D$93,F143,D$93-SUM(E$100:E143))</f>
        <v>0</v>
      </c>
      <c r="E144" s="162">
        <f t="shared" si="20"/>
        <v>0</v>
      </c>
      <c r="F144" s="161">
        <f t="shared" si="11"/>
        <v>0</v>
      </c>
      <c r="G144" s="161">
        <f t="shared" si="12"/>
        <v>0</v>
      </c>
      <c r="H144" s="165">
        <f t="shared" si="13"/>
        <v>0</v>
      </c>
      <c r="I144" s="299">
        <f t="shared" si="14"/>
        <v>0</v>
      </c>
      <c r="J144" s="160">
        <f t="shared" si="15"/>
        <v>0</v>
      </c>
      <c r="K144" s="160"/>
      <c r="L144" s="316"/>
      <c r="M144" s="160">
        <f t="shared" si="16"/>
        <v>0</v>
      </c>
      <c r="N144" s="316"/>
      <c r="O144" s="160">
        <f t="shared" si="17"/>
        <v>0</v>
      </c>
      <c r="P144" s="160">
        <f t="shared" si="18"/>
        <v>0</v>
      </c>
      <c r="Q144" s="1"/>
      <c r="R144" s="1"/>
      <c r="S144" s="1"/>
      <c r="T144" s="1"/>
      <c r="U144" s="1"/>
    </row>
    <row r="145" spans="2:21">
      <c r="B145" t="str">
        <f t="shared" si="10"/>
        <v/>
      </c>
      <c r="C145" s="155">
        <f>IF(D94="","-",+C144+1)</f>
        <v>2062</v>
      </c>
      <c r="D145" s="156">
        <f>IF(F144+SUM(E$100:E144)=D$93,F144,D$93-SUM(E$100:E144))</f>
        <v>0</v>
      </c>
      <c r="E145" s="162">
        <f t="shared" si="20"/>
        <v>0</v>
      </c>
      <c r="F145" s="161">
        <f t="shared" si="11"/>
        <v>0</v>
      </c>
      <c r="G145" s="161">
        <f t="shared" si="12"/>
        <v>0</v>
      </c>
      <c r="H145" s="165">
        <f t="shared" si="13"/>
        <v>0</v>
      </c>
      <c r="I145" s="299">
        <f t="shared" si="14"/>
        <v>0</v>
      </c>
      <c r="J145" s="160">
        <f t="shared" si="15"/>
        <v>0</v>
      </c>
      <c r="K145" s="160"/>
      <c r="L145" s="316"/>
      <c r="M145" s="160">
        <f t="shared" si="16"/>
        <v>0</v>
      </c>
      <c r="N145" s="316"/>
      <c r="O145" s="160">
        <f t="shared" si="17"/>
        <v>0</v>
      </c>
      <c r="P145" s="160">
        <f t="shared" si="18"/>
        <v>0</v>
      </c>
      <c r="Q145" s="1"/>
      <c r="R145" s="1"/>
      <c r="S145" s="1"/>
      <c r="T145" s="1"/>
      <c r="U145" s="1"/>
    </row>
    <row r="146" spans="2:21">
      <c r="B146" t="str">
        <f t="shared" si="10"/>
        <v/>
      </c>
      <c r="C146" s="155">
        <f>IF(D94="","-",+C145+1)</f>
        <v>2063</v>
      </c>
      <c r="D146" s="156">
        <f>IF(F145+SUM(E$100:E145)=D$93,F145,D$93-SUM(E$100:E145))</f>
        <v>0</v>
      </c>
      <c r="E146" s="162">
        <f t="shared" si="20"/>
        <v>0</v>
      </c>
      <c r="F146" s="161">
        <f t="shared" si="11"/>
        <v>0</v>
      </c>
      <c r="G146" s="161">
        <f t="shared" si="12"/>
        <v>0</v>
      </c>
      <c r="H146" s="165">
        <f t="shared" si="13"/>
        <v>0</v>
      </c>
      <c r="I146" s="299">
        <f t="shared" si="14"/>
        <v>0</v>
      </c>
      <c r="J146" s="160">
        <f t="shared" si="15"/>
        <v>0</v>
      </c>
      <c r="K146" s="160"/>
      <c r="L146" s="316"/>
      <c r="M146" s="160">
        <f t="shared" si="16"/>
        <v>0</v>
      </c>
      <c r="N146" s="316"/>
      <c r="O146" s="160">
        <f t="shared" si="17"/>
        <v>0</v>
      </c>
      <c r="P146" s="160">
        <f t="shared" si="18"/>
        <v>0</v>
      </c>
      <c r="Q146" s="1"/>
      <c r="R146" s="1"/>
      <c r="S146" s="1"/>
      <c r="T146" s="1"/>
      <c r="U146" s="1"/>
    </row>
    <row r="147" spans="2:21">
      <c r="B147" t="str">
        <f t="shared" si="10"/>
        <v/>
      </c>
      <c r="C147" s="155">
        <f>IF(D94="","-",+C146+1)</f>
        <v>2064</v>
      </c>
      <c r="D147" s="156">
        <f>IF(F146+SUM(E$100:E146)=D$93,F146,D$93-SUM(E$100:E146))</f>
        <v>0</v>
      </c>
      <c r="E147" s="162">
        <f t="shared" si="20"/>
        <v>0</v>
      </c>
      <c r="F147" s="161">
        <f t="shared" si="11"/>
        <v>0</v>
      </c>
      <c r="G147" s="161">
        <f t="shared" si="12"/>
        <v>0</v>
      </c>
      <c r="H147" s="165">
        <f t="shared" si="13"/>
        <v>0</v>
      </c>
      <c r="I147" s="299">
        <f t="shared" si="14"/>
        <v>0</v>
      </c>
      <c r="J147" s="160">
        <f t="shared" si="15"/>
        <v>0</v>
      </c>
      <c r="K147" s="160"/>
      <c r="L147" s="316"/>
      <c r="M147" s="160">
        <f t="shared" si="16"/>
        <v>0</v>
      </c>
      <c r="N147" s="316"/>
      <c r="O147" s="160">
        <f t="shared" si="17"/>
        <v>0</v>
      </c>
      <c r="P147" s="160">
        <f t="shared" si="18"/>
        <v>0</v>
      </c>
      <c r="Q147" s="1"/>
      <c r="R147" s="1"/>
      <c r="S147" s="1"/>
      <c r="T147" s="1"/>
      <c r="U147" s="1"/>
    </row>
    <row r="148" spans="2:21">
      <c r="B148" t="str">
        <f t="shared" si="10"/>
        <v/>
      </c>
      <c r="C148" s="155">
        <f>IF(D94="","-",+C147+1)</f>
        <v>2065</v>
      </c>
      <c r="D148" s="156">
        <f>IF(F147+SUM(E$100:E147)=D$93,F147,D$93-SUM(E$100:E147))</f>
        <v>0</v>
      </c>
      <c r="E148" s="162">
        <f t="shared" si="20"/>
        <v>0</v>
      </c>
      <c r="F148" s="161">
        <f t="shared" si="11"/>
        <v>0</v>
      </c>
      <c r="G148" s="161">
        <f t="shared" si="12"/>
        <v>0</v>
      </c>
      <c r="H148" s="165">
        <f t="shared" si="13"/>
        <v>0</v>
      </c>
      <c r="I148" s="299">
        <f t="shared" si="14"/>
        <v>0</v>
      </c>
      <c r="J148" s="160">
        <f t="shared" si="15"/>
        <v>0</v>
      </c>
      <c r="K148" s="160"/>
      <c r="L148" s="316"/>
      <c r="M148" s="160">
        <f t="shared" si="16"/>
        <v>0</v>
      </c>
      <c r="N148" s="316"/>
      <c r="O148" s="160">
        <f t="shared" si="17"/>
        <v>0</v>
      </c>
      <c r="P148" s="160">
        <f t="shared" si="18"/>
        <v>0</v>
      </c>
      <c r="Q148" s="1"/>
      <c r="R148" s="1"/>
      <c r="S148" s="1"/>
      <c r="T148" s="1"/>
      <c r="U148" s="1"/>
    </row>
    <row r="149" spans="2:21">
      <c r="B149" t="str">
        <f t="shared" si="10"/>
        <v/>
      </c>
      <c r="C149" s="155">
        <f>IF(D94="","-",+C148+1)</f>
        <v>2066</v>
      </c>
      <c r="D149" s="156">
        <f>IF(F148+SUM(E$100:E148)=D$93,F148,D$93-SUM(E$100:E148))</f>
        <v>0</v>
      </c>
      <c r="E149" s="162">
        <f t="shared" si="20"/>
        <v>0</v>
      </c>
      <c r="F149" s="161">
        <f t="shared" si="11"/>
        <v>0</v>
      </c>
      <c r="G149" s="161">
        <f t="shared" si="12"/>
        <v>0</v>
      </c>
      <c r="H149" s="165">
        <f t="shared" si="13"/>
        <v>0</v>
      </c>
      <c r="I149" s="299">
        <f t="shared" si="14"/>
        <v>0</v>
      </c>
      <c r="J149" s="160">
        <f t="shared" si="15"/>
        <v>0</v>
      </c>
      <c r="K149" s="160"/>
      <c r="L149" s="316"/>
      <c r="M149" s="160">
        <f t="shared" si="16"/>
        <v>0</v>
      </c>
      <c r="N149" s="316"/>
      <c r="O149" s="160">
        <f t="shared" si="17"/>
        <v>0</v>
      </c>
      <c r="P149" s="160">
        <f t="shared" si="18"/>
        <v>0</v>
      </c>
      <c r="Q149" s="1"/>
      <c r="R149" s="1"/>
      <c r="S149" s="1"/>
      <c r="T149" s="1"/>
      <c r="U149" s="1"/>
    </row>
    <row r="150" spans="2:21">
      <c r="B150" t="str">
        <f t="shared" si="10"/>
        <v/>
      </c>
      <c r="C150" s="155">
        <f>IF(D94="","-",+C149+1)</f>
        <v>2067</v>
      </c>
      <c r="D150" s="156">
        <f>IF(F149+SUM(E$100:E149)=D$93,F149,D$93-SUM(E$100:E149))</f>
        <v>0</v>
      </c>
      <c r="E150" s="162">
        <f t="shared" si="20"/>
        <v>0</v>
      </c>
      <c r="F150" s="161">
        <f t="shared" si="11"/>
        <v>0</v>
      </c>
      <c r="G150" s="161">
        <f t="shared" si="12"/>
        <v>0</v>
      </c>
      <c r="H150" s="165">
        <f t="shared" si="13"/>
        <v>0</v>
      </c>
      <c r="I150" s="299">
        <f t="shared" si="14"/>
        <v>0</v>
      </c>
      <c r="J150" s="160">
        <f t="shared" si="15"/>
        <v>0</v>
      </c>
      <c r="K150" s="160"/>
      <c r="L150" s="316"/>
      <c r="M150" s="160">
        <f t="shared" si="16"/>
        <v>0</v>
      </c>
      <c r="N150" s="316"/>
      <c r="O150" s="160">
        <f t="shared" si="17"/>
        <v>0</v>
      </c>
      <c r="P150" s="160">
        <f t="shared" si="18"/>
        <v>0</v>
      </c>
      <c r="Q150" s="1"/>
      <c r="R150" s="1"/>
      <c r="S150" s="1"/>
      <c r="T150" s="1"/>
      <c r="U150" s="1"/>
    </row>
    <row r="151" spans="2:21">
      <c r="B151" t="str">
        <f t="shared" si="10"/>
        <v/>
      </c>
      <c r="C151" s="155">
        <f>IF(D94="","-",+C150+1)</f>
        <v>2068</v>
      </c>
      <c r="D151" s="156">
        <f>IF(F150+SUM(E$100:E150)=D$93,F150,D$93-SUM(E$100:E150))</f>
        <v>0</v>
      </c>
      <c r="E151" s="162">
        <f t="shared" si="20"/>
        <v>0</v>
      </c>
      <c r="F151" s="161">
        <f t="shared" si="11"/>
        <v>0</v>
      </c>
      <c r="G151" s="161">
        <f t="shared" si="12"/>
        <v>0</v>
      </c>
      <c r="H151" s="165">
        <f t="shared" si="13"/>
        <v>0</v>
      </c>
      <c r="I151" s="299">
        <f t="shared" si="14"/>
        <v>0</v>
      </c>
      <c r="J151" s="160">
        <f t="shared" si="15"/>
        <v>0</v>
      </c>
      <c r="K151" s="160"/>
      <c r="L151" s="316"/>
      <c r="M151" s="160">
        <f t="shared" si="16"/>
        <v>0</v>
      </c>
      <c r="N151" s="316"/>
      <c r="O151" s="160">
        <f t="shared" si="17"/>
        <v>0</v>
      </c>
      <c r="P151" s="160">
        <f t="shared" si="18"/>
        <v>0</v>
      </c>
      <c r="Q151" s="1"/>
      <c r="R151" s="1"/>
      <c r="S151" s="1"/>
      <c r="T151" s="1"/>
      <c r="U151" s="1"/>
    </row>
    <row r="152" spans="2:21">
      <c r="B152" t="str">
        <f t="shared" si="10"/>
        <v/>
      </c>
      <c r="C152" s="155">
        <f>IF(D94="","-",+C151+1)</f>
        <v>2069</v>
      </c>
      <c r="D152" s="156">
        <f>IF(F151+SUM(E$100:E151)=D$93,F151,D$93-SUM(E$100:E151))</f>
        <v>0</v>
      </c>
      <c r="E152" s="162">
        <f t="shared" si="20"/>
        <v>0</v>
      </c>
      <c r="F152" s="161">
        <f t="shared" si="11"/>
        <v>0</v>
      </c>
      <c r="G152" s="161">
        <f t="shared" si="12"/>
        <v>0</v>
      </c>
      <c r="H152" s="165">
        <f t="shared" si="13"/>
        <v>0</v>
      </c>
      <c r="I152" s="299">
        <f t="shared" si="14"/>
        <v>0</v>
      </c>
      <c r="J152" s="160">
        <f t="shared" si="15"/>
        <v>0</v>
      </c>
      <c r="K152" s="160"/>
      <c r="L152" s="316"/>
      <c r="M152" s="160">
        <f t="shared" si="16"/>
        <v>0</v>
      </c>
      <c r="N152" s="316"/>
      <c r="O152" s="160">
        <f t="shared" si="17"/>
        <v>0</v>
      </c>
      <c r="P152" s="160">
        <f t="shared" si="18"/>
        <v>0</v>
      </c>
      <c r="Q152" s="1"/>
      <c r="R152" s="1"/>
      <c r="S152" s="1"/>
      <c r="T152" s="1"/>
      <c r="U152" s="1"/>
    </row>
    <row r="153" spans="2:21">
      <c r="B153" t="str">
        <f t="shared" si="10"/>
        <v/>
      </c>
      <c r="C153" s="155">
        <f>IF(D94="","-",+C152+1)</f>
        <v>2070</v>
      </c>
      <c r="D153" s="156">
        <f>IF(F152+SUM(E$100:E152)=D$93,F152,D$93-SUM(E$100:E152))</f>
        <v>0</v>
      </c>
      <c r="E153" s="162">
        <f t="shared" si="20"/>
        <v>0</v>
      </c>
      <c r="F153" s="161">
        <f t="shared" si="11"/>
        <v>0</v>
      </c>
      <c r="G153" s="161">
        <f t="shared" si="12"/>
        <v>0</v>
      </c>
      <c r="H153" s="165">
        <f t="shared" si="13"/>
        <v>0</v>
      </c>
      <c r="I153" s="299">
        <f t="shared" si="14"/>
        <v>0</v>
      </c>
      <c r="J153" s="160">
        <f t="shared" si="15"/>
        <v>0</v>
      </c>
      <c r="K153" s="160"/>
      <c r="L153" s="316"/>
      <c r="M153" s="160">
        <f t="shared" si="16"/>
        <v>0</v>
      </c>
      <c r="N153" s="316"/>
      <c r="O153" s="160">
        <f t="shared" si="17"/>
        <v>0</v>
      </c>
      <c r="P153" s="160">
        <f t="shared" si="18"/>
        <v>0</v>
      </c>
      <c r="Q153" s="1"/>
      <c r="R153" s="1"/>
      <c r="S153" s="1"/>
      <c r="T153" s="1"/>
      <c r="U153" s="1"/>
    </row>
    <row r="154" spans="2:21">
      <c r="B154" t="str">
        <f t="shared" si="10"/>
        <v/>
      </c>
      <c r="C154" s="155">
        <f>IF(D94="","-",+C153+1)</f>
        <v>2071</v>
      </c>
      <c r="D154" s="156">
        <f>IF(F153+SUM(E$100:E153)=D$93,F153,D$93-SUM(E$100:E153))</f>
        <v>0</v>
      </c>
      <c r="E154" s="162">
        <f t="shared" si="20"/>
        <v>0</v>
      </c>
      <c r="F154" s="161">
        <f t="shared" si="11"/>
        <v>0</v>
      </c>
      <c r="G154" s="161">
        <f t="shared" si="12"/>
        <v>0</v>
      </c>
      <c r="H154" s="165">
        <f t="shared" si="13"/>
        <v>0</v>
      </c>
      <c r="I154" s="299">
        <f t="shared" si="14"/>
        <v>0</v>
      </c>
      <c r="J154" s="160">
        <f t="shared" si="15"/>
        <v>0</v>
      </c>
      <c r="K154" s="160"/>
      <c r="L154" s="316"/>
      <c r="M154" s="160">
        <f t="shared" si="16"/>
        <v>0</v>
      </c>
      <c r="N154" s="316"/>
      <c r="O154" s="160">
        <f t="shared" si="17"/>
        <v>0</v>
      </c>
      <c r="P154" s="160">
        <f t="shared" si="18"/>
        <v>0</v>
      </c>
      <c r="Q154" s="1"/>
      <c r="R154" s="1"/>
      <c r="S154" s="1"/>
      <c r="T154" s="1"/>
      <c r="U154" s="1"/>
    </row>
    <row r="155" spans="2:21" ht="13.5" thickBot="1">
      <c r="B155" t="str">
        <f t="shared" si="10"/>
        <v/>
      </c>
      <c r="C155" s="166">
        <f>IF(D94="","-",+C154+1)</f>
        <v>2072</v>
      </c>
      <c r="D155" s="167">
        <f>IF(F154+SUM(E$100:E154)=D$93,F154,D$93-SUM(E$100:E154))</f>
        <v>0</v>
      </c>
      <c r="E155" s="168">
        <f t="shared" si="20"/>
        <v>0</v>
      </c>
      <c r="F155" s="167">
        <f t="shared" si="11"/>
        <v>0</v>
      </c>
      <c r="G155" s="167">
        <f t="shared" si="12"/>
        <v>0</v>
      </c>
      <c r="H155" s="169">
        <f t="shared" si="13"/>
        <v>0</v>
      </c>
      <c r="I155" s="300">
        <f t="shared" si="14"/>
        <v>0</v>
      </c>
      <c r="J155" s="171">
        <f t="shared" si="15"/>
        <v>0</v>
      </c>
      <c r="K155" s="160"/>
      <c r="L155" s="317"/>
      <c r="M155" s="171">
        <f t="shared" si="16"/>
        <v>0</v>
      </c>
      <c r="N155" s="317"/>
      <c r="O155" s="171">
        <f t="shared" si="17"/>
        <v>0</v>
      </c>
      <c r="P155" s="171">
        <f t="shared" si="18"/>
        <v>0</v>
      </c>
      <c r="Q155" s="1"/>
      <c r="R155" s="1"/>
      <c r="S155" s="1"/>
      <c r="T155" s="1"/>
      <c r="U155" s="1"/>
    </row>
    <row r="156" spans="2:21">
      <c r="C156" s="156" t="s">
        <v>75</v>
      </c>
      <c r="D156" s="112"/>
      <c r="E156" s="112">
        <f>SUM(E100:E155)</f>
        <v>11033623</v>
      </c>
      <c r="F156" s="112"/>
      <c r="G156" s="112"/>
      <c r="H156" s="112">
        <f>SUM(H100:H155)</f>
        <v>32121252.422491301</v>
      </c>
      <c r="I156" s="112">
        <f>SUM(I100:I155)</f>
        <v>32121252.422491301</v>
      </c>
      <c r="J156" s="112">
        <f>SUM(J100:J155)</f>
        <v>0</v>
      </c>
      <c r="K156" s="112"/>
      <c r="L156" s="112"/>
      <c r="M156" s="112"/>
      <c r="N156" s="112"/>
      <c r="O156" s="112"/>
      <c r="P156" s="1"/>
      <c r="Q156" s="1"/>
      <c r="R156" s="1"/>
      <c r="S156" s="1"/>
      <c r="T156" s="1"/>
      <c r="U156" s="1"/>
    </row>
    <row r="157" spans="2:21">
      <c r="D157" s="2"/>
      <c r="E157" s="1"/>
      <c r="F157" s="1"/>
      <c r="G157" s="1"/>
      <c r="H157" s="1"/>
      <c r="I157" s="3"/>
      <c r="J157" s="3"/>
      <c r="K157" s="112"/>
      <c r="L157" s="3"/>
      <c r="M157" s="3"/>
      <c r="N157" s="3"/>
      <c r="O157" s="3"/>
      <c r="P157" s="1"/>
      <c r="Q157" s="1"/>
      <c r="R157" s="1"/>
      <c r="S157" s="1"/>
      <c r="T157" s="1"/>
      <c r="U157" s="1"/>
    </row>
    <row r="158" spans="2:21">
      <c r="C158" s="215" t="s">
        <v>90</v>
      </c>
      <c r="D158" s="2"/>
      <c r="E158" s="1"/>
      <c r="F158" s="1"/>
      <c r="G158" s="1"/>
      <c r="H158" s="1"/>
      <c r="I158" s="3"/>
      <c r="J158" s="3"/>
      <c r="K158" s="112"/>
      <c r="L158" s="3"/>
      <c r="M158" s="3"/>
      <c r="N158" s="3"/>
      <c r="O158" s="3"/>
      <c r="P158" s="1"/>
      <c r="Q158" s="1"/>
      <c r="R158" s="1"/>
      <c r="S158" s="1"/>
      <c r="T158" s="1"/>
      <c r="U158" s="1"/>
    </row>
    <row r="159" spans="2:21">
      <c r="D159" s="2"/>
      <c r="E159" s="1"/>
      <c r="F159" s="1"/>
      <c r="G159" s="1"/>
      <c r="H159" s="1"/>
      <c r="I159" s="3"/>
      <c r="J159" s="3"/>
      <c r="K159" s="112"/>
      <c r="L159" s="3"/>
      <c r="M159" s="3"/>
      <c r="N159" s="3"/>
      <c r="O159" s="3"/>
      <c r="P159" s="1"/>
      <c r="Q159" s="1"/>
      <c r="R159" s="1"/>
      <c r="S159" s="1"/>
      <c r="T159" s="1"/>
      <c r="U159" s="1"/>
    </row>
    <row r="160" spans="2:21">
      <c r="C160" s="172" t="s">
        <v>96</v>
      </c>
      <c r="D160" s="156"/>
      <c r="E160" s="156"/>
      <c r="F160" s="156"/>
      <c r="G160" s="156"/>
      <c r="H160" s="112"/>
      <c r="I160" s="112"/>
      <c r="J160" s="173"/>
      <c r="K160" s="173"/>
      <c r="L160" s="173"/>
      <c r="M160" s="173"/>
      <c r="N160" s="173"/>
      <c r="O160" s="173"/>
      <c r="P160" s="1"/>
      <c r="Q160" s="1"/>
      <c r="R160" s="1"/>
      <c r="S160" s="1"/>
      <c r="T160" s="1"/>
      <c r="U160" s="1"/>
    </row>
    <row r="161" spans="3:21">
      <c r="C161" s="216" t="s">
        <v>76</v>
      </c>
      <c r="D161" s="156"/>
      <c r="E161" s="156"/>
      <c r="F161" s="156"/>
      <c r="G161" s="156"/>
      <c r="H161" s="112"/>
      <c r="I161" s="112"/>
      <c r="J161" s="173"/>
      <c r="K161" s="173"/>
      <c r="L161" s="173"/>
      <c r="M161" s="173"/>
      <c r="N161" s="173"/>
      <c r="O161" s="173"/>
      <c r="P161" s="1"/>
      <c r="Q161" s="1"/>
      <c r="R161" s="1"/>
      <c r="S161" s="1"/>
      <c r="T161" s="1"/>
      <c r="U161" s="1"/>
    </row>
    <row r="162" spans="3:21">
      <c r="C162" s="216" t="s">
        <v>77</v>
      </c>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conditionalFormatting sqref="C17:C31 C34:C40 C44:C73">
    <cfRule type="cellIs" dxfId="19" priority="4" stopIfTrue="1" operator="equal">
      <formula>$I$10</formula>
    </cfRule>
  </conditionalFormatting>
  <conditionalFormatting sqref="C100:C155">
    <cfRule type="cellIs" dxfId="18" priority="5" stopIfTrue="1" operator="equal">
      <formula>$J$93</formula>
    </cfRule>
  </conditionalFormatting>
  <conditionalFormatting sqref="C32">
    <cfRule type="cellIs" dxfId="17" priority="3" stopIfTrue="1" operator="equal">
      <formula>$I$10</formula>
    </cfRule>
  </conditionalFormatting>
  <conditionalFormatting sqref="C33">
    <cfRule type="cellIs" dxfId="16" priority="2" stopIfTrue="1" operator="equal">
      <formula>$I$10</formula>
    </cfRule>
  </conditionalFormatting>
  <conditionalFormatting sqref="C41:C43">
    <cfRule type="cellIs" dxfId="15"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P163"/>
  <sheetViews>
    <sheetView zoomScale="85" zoomScaleNormal="85" workbookViewId="0">
      <selection activeCell="D11" sqref="D11"/>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240" t="s">
        <v>189</v>
      </c>
      <c r="B1" s="1"/>
      <c r="C1" s="23"/>
      <c r="D1" s="2"/>
      <c r="E1" s="1"/>
      <c r="F1" s="100"/>
      <c r="G1" s="1"/>
      <c r="H1" s="3"/>
      <c r="J1" s="7"/>
      <c r="K1" s="110"/>
      <c r="L1" s="110"/>
      <c r="M1" s="110"/>
      <c r="P1" s="246" t="str">
        <f ca="1">"OKT Project "&amp;RIGHT(MID(CELL("filename",$A$1),FIND("]",CELL("filename",$A$1))+1,256),2)&amp;" of "&amp;COUNT('OKT.001:OKT.xyz - blank'!$P$3)-1</f>
        <v>OKT Project 16 of 19</v>
      </c>
    </row>
    <row r="2" spans="1:16" ht="18">
      <c r="B2" s="1"/>
      <c r="C2" s="1"/>
      <c r="D2" s="2"/>
      <c r="E2" s="1"/>
      <c r="F2" s="1"/>
      <c r="G2" s="1"/>
      <c r="H2" s="3"/>
      <c r="I2" s="1"/>
      <c r="J2" s="4"/>
      <c r="K2" s="1"/>
      <c r="L2" s="1"/>
      <c r="M2" s="1"/>
      <c r="N2" s="1"/>
      <c r="P2" s="247" t="s">
        <v>131</v>
      </c>
    </row>
    <row r="3" spans="1:16" ht="18.75">
      <c r="B3" s="5" t="s">
        <v>42</v>
      </c>
      <c r="C3" s="69" t="s">
        <v>43</v>
      </c>
      <c r="D3" s="2"/>
      <c r="E3" s="1"/>
      <c r="F3" s="1"/>
      <c r="G3" s="1"/>
      <c r="H3" s="3"/>
      <c r="I3" s="3"/>
      <c r="J3" s="112"/>
      <c r="K3" s="3"/>
      <c r="L3" s="3"/>
      <c r="M3" s="3"/>
      <c r="N3" s="3"/>
      <c r="O3" s="1"/>
      <c r="P3" s="237">
        <v>1</v>
      </c>
    </row>
    <row r="4" spans="1:16" ht="15.75" thickBot="1">
      <c r="C4" s="68"/>
      <c r="D4" s="2"/>
      <c r="E4" s="1"/>
      <c r="F4" s="1"/>
      <c r="G4" s="1"/>
      <c r="H4" s="3"/>
      <c r="I4" s="3"/>
      <c r="J4" s="112"/>
      <c r="K4" s="3"/>
      <c r="L4" s="3"/>
      <c r="M4" s="3"/>
      <c r="N4" s="3"/>
      <c r="O4" s="1"/>
      <c r="P4" s="1"/>
    </row>
    <row r="5" spans="1:16" ht="15">
      <c r="C5" s="113" t="s">
        <v>44</v>
      </c>
      <c r="D5" s="2"/>
      <c r="E5" s="1"/>
      <c r="F5" s="1"/>
      <c r="G5" s="114"/>
      <c r="H5" s="1" t="s">
        <v>45</v>
      </c>
      <c r="I5" s="1"/>
      <c r="J5" s="4"/>
      <c r="K5" s="115" t="s">
        <v>242</v>
      </c>
      <c r="L5" s="116"/>
      <c r="M5" s="117"/>
      <c r="N5" s="118">
        <f>VLOOKUP(I10,C17:I73,5)</f>
        <v>1242410.3516112138</v>
      </c>
      <c r="P5" s="1"/>
    </row>
    <row r="6" spans="1:16" ht="15.75">
      <c r="C6" s="8"/>
      <c r="D6" s="2"/>
      <c r="E6" s="1"/>
      <c r="F6" s="1"/>
      <c r="G6" s="1"/>
      <c r="H6" s="119"/>
      <c r="I6" s="119"/>
      <c r="J6" s="120"/>
      <c r="K6" s="121" t="s">
        <v>243</v>
      </c>
      <c r="L6" s="122"/>
      <c r="M6" s="4"/>
      <c r="N6" s="123">
        <f>VLOOKUP(I10,C17:I73,6)</f>
        <v>1242410.3516112138</v>
      </c>
      <c r="O6" s="1"/>
      <c r="P6" s="1"/>
    </row>
    <row r="7" spans="1:16" ht="13.5" thickBot="1">
      <c r="C7" s="124" t="s">
        <v>46</v>
      </c>
      <c r="D7" s="222" t="s">
        <v>246</v>
      </c>
      <c r="E7" s="1"/>
      <c r="F7" s="1"/>
      <c r="G7" s="1"/>
      <c r="H7" s="3"/>
      <c r="I7" s="3"/>
      <c r="J7" s="112"/>
      <c r="K7" s="125" t="s">
        <v>47</v>
      </c>
      <c r="L7" s="126"/>
      <c r="M7" s="126"/>
      <c r="N7" s="127">
        <f>+N6-N5</f>
        <v>0</v>
      </c>
      <c r="O7" s="1"/>
      <c r="P7" s="1"/>
    </row>
    <row r="8" spans="1:16" ht="13.5" thickBot="1">
      <c r="C8" s="128"/>
      <c r="D8" s="244" t="str">
        <f>IF(D10&lt;100000,"DOES NOT MEET SPP $100,000 MINIMUM INVESTMENT FOR REGIONAL BPU SHARING.","")</f>
        <v/>
      </c>
      <c r="E8" s="129"/>
      <c r="F8" s="129"/>
      <c r="G8" s="129"/>
      <c r="H8" s="129"/>
      <c r="I8" s="129"/>
      <c r="J8" s="102"/>
      <c r="K8" s="129"/>
      <c r="L8" s="129"/>
      <c r="M8" s="129"/>
      <c r="N8" s="129"/>
      <c r="O8" s="102"/>
      <c r="P8" s="23"/>
    </row>
    <row r="9" spans="1:16" ht="13.5" thickBot="1">
      <c r="C9" s="130" t="s">
        <v>48</v>
      </c>
      <c r="D9" s="224" t="s">
        <v>262</v>
      </c>
      <c r="E9" s="131"/>
      <c r="F9" s="131"/>
      <c r="G9" s="131"/>
      <c r="H9" s="131"/>
      <c r="I9" s="132"/>
      <c r="J9" s="133"/>
      <c r="O9" s="134"/>
      <c r="P9" s="4"/>
    </row>
    <row r="10" spans="1:16">
      <c r="C10" s="135" t="s">
        <v>49</v>
      </c>
      <c r="D10" s="136">
        <v>8899000</v>
      </c>
      <c r="E10" s="63" t="s">
        <v>50</v>
      </c>
      <c r="F10" s="134"/>
      <c r="G10" s="137"/>
      <c r="H10" s="137"/>
      <c r="I10" s="138">
        <f>+OKT.WS.F.BPU.ATRR.Projected!R100</f>
        <v>2018</v>
      </c>
      <c r="J10" s="133"/>
      <c r="K10" s="112" t="s">
        <v>51</v>
      </c>
      <c r="O10" s="4"/>
      <c r="P10" s="4"/>
    </row>
    <row r="11" spans="1:16">
      <c r="C11" s="139" t="s">
        <v>52</v>
      </c>
      <c r="D11" s="140">
        <v>2017</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row>
    <row r="12" spans="1:16">
      <c r="C12" s="139" t="s">
        <v>54</v>
      </c>
      <c r="D12" s="136">
        <v>7</v>
      </c>
      <c r="E12" s="139" t="s">
        <v>55</v>
      </c>
      <c r="F12" s="137"/>
      <c r="G12" s="7"/>
      <c r="H12" s="7"/>
      <c r="I12" s="143">
        <f>OKT.WS.F.BPU.ATRR.Projected!$F$78</f>
        <v>0.11749102697326873</v>
      </c>
      <c r="J12" s="144"/>
      <c r="K12" t="s">
        <v>56</v>
      </c>
      <c r="O12" s="4"/>
      <c r="P12" s="4"/>
    </row>
    <row r="13" spans="1:16">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row>
    <row r="14" spans="1:16" ht="13.5" thickBot="1">
      <c r="C14" s="139" t="s">
        <v>60</v>
      </c>
      <c r="D14" s="140" t="s">
        <v>61</v>
      </c>
      <c r="E14" s="4" t="s">
        <v>62</v>
      </c>
      <c r="F14" s="137"/>
      <c r="G14" s="7"/>
      <c r="H14" s="7"/>
      <c r="I14" s="145">
        <f>IF(D10=0,0,D10/D13)</f>
        <v>218244.25465113699</v>
      </c>
      <c r="J14" s="112"/>
      <c r="K14" s="112"/>
      <c r="L14" s="112"/>
      <c r="M14" s="112"/>
      <c r="N14" s="112"/>
      <c r="O14" s="4"/>
      <c r="P14" s="4"/>
    </row>
    <row r="15" spans="1:16"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row>
    <row r="16" spans="1:16"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row>
    <row r="17" spans="2:16">
      <c r="B17" t="str">
        <f t="shared" ref="B17:B71" si="0">IF(D17=F16,"","IU")</f>
        <v>IU</v>
      </c>
      <c r="C17" s="155">
        <f>IF(D11= "","-",D11)</f>
        <v>2017</v>
      </c>
      <c r="D17" s="392">
        <v>0</v>
      </c>
      <c r="E17" s="400">
        <v>72904.982539658653</v>
      </c>
      <c r="F17" s="392">
        <v>8826095.0174603406</v>
      </c>
      <c r="G17" s="400">
        <v>558075.303653282</v>
      </c>
      <c r="H17" s="398">
        <v>558075.303653282</v>
      </c>
      <c r="I17" s="158">
        <f>H17-G17</f>
        <v>0</v>
      </c>
      <c r="J17" s="158"/>
      <c r="K17" s="318">
        <f>+G17</f>
        <v>558075.303653282</v>
      </c>
      <c r="L17" s="159">
        <f t="shared" ref="L17:L71" si="1">IF(K17&lt;&gt;0,+G17-K17,0)</f>
        <v>0</v>
      </c>
      <c r="M17" s="318">
        <f>+H17</f>
        <v>558075.303653282</v>
      </c>
      <c r="N17" s="159">
        <f t="shared" ref="N17:N71" si="2">IF(M17&lt;&gt;0,+H17-M17,0)</f>
        <v>0</v>
      </c>
      <c r="O17" s="160">
        <f t="shared" ref="O17:O71" si="3">+N17-L17</f>
        <v>0</v>
      </c>
      <c r="P17" s="4"/>
    </row>
    <row r="18" spans="2:16">
      <c r="B18" t="str">
        <f t="shared" si="0"/>
        <v/>
      </c>
      <c r="C18" s="155">
        <f>IF(D11="","-",+C17+1)</f>
        <v>2018</v>
      </c>
      <c r="D18" s="394">
        <v>8826095.0174603406</v>
      </c>
      <c r="E18" s="393">
        <v>218244.25465113699</v>
      </c>
      <c r="F18" s="394">
        <v>8607850.7628092039</v>
      </c>
      <c r="G18" s="393">
        <v>1242410.3516112138</v>
      </c>
      <c r="H18" s="398">
        <v>1242410.3516112138</v>
      </c>
      <c r="I18" s="158">
        <f t="shared" ref="I18:I71" si="4">H18-G18</f>
        <v>0</v>
      </c>
      <c r="J18" s="158"/>
      <c r="K18" s="355">
        <f>+G18</f>
        <v>1242410.3516112138</v>
      </c>
      <c r="L18" s="360">
        <f t="shared" si="1"/>
        <v>0</v>
      </c>
      <c r="M18" s="355">
        <f>+H18</f>
        <v>1242410.3516112138</v>
      </c>
      <c r="N18" s="160">
        <f t="shared" si="2"/>
        <v>0</v>
      </c>
      <c r="O18" s="160">
        <f t="shared" si="3"/>
        <v>0</v>
      </c>
      <c r="P18" s="4"/>
    </row>
    <row r="19" spans="2:16">
      <c r="B19" t="str">
        <f t="shared" si="0"/>
        <v/>
      </c>
      <c r="C19" s="155">
        <f>IF(D11="","-",+C18+1)</f>
        <v>2019</v>
      </c>
      <c r="D19" s="164">
        <f>IF(F18+SUM(E$17:E18)=D$10,F18,D$10-SUM(E$17:E18))</f>
        <v>8607850.7628092039</v>
      </c>
      <c r="E19" s="162">
        <f t="shared" ref="E19:E49" si="5">IF(+I$14&lt;F18,I$14,D19)</f>
        <v>218244.25465113699</v>
      </c>
      <c r="F19" s="161">
        <f t="shared" ref="F19:F71" si="6">+D19-E19</f>
        <v>8389606.5081580672</v>
      </c>
      <c r="G19" s="163">
        <f t="shared" ref="G19:G48" si="7">(D19+F19)/2*I$12+E19</f>
        <v>1216768.6100012362</v>
      </c>
      <c r="H19" s="145">
        <f t="shared" ref="H19:H48" si="8">+(D19+F19)/2*I$13+E19</f>
        <v>1216768.6100012362</v>
      </c>
      <c r="I19" s="158">
        <f t="shared" si="4"/>
        <v>0</v>
      </c>
      <c r="J19" s="158"/>
      <c r="K19" s="316"/>
      <c r="L19" s="160">
        <f t="shared" si="1"/>
        <v>0</v>
      </c>
      <c r="M19" s="316"/>
      <c r="N19" s="160">
        <f t="shared" si="2"/>
        <v>0</v>
      </c>
      <c r="O19" s="160">
        <f t="shared" si="3"/>
        <v>0</v>
      </c>
      <c r="P19" s="4"/>
    </row>
    <row r="20" spans="2:16">
      <c r="B20" t="str">
        <f t="shared" si="0"/>
        <v/>
      </c>
      <c r="C20" s="155">
        <f>IF(D11="","-",+C19+1)</f>
        <v>2020</v>
      </c>
      <c r="D20" s="164">
        <f>IF(F19+SUM(E$17:E19)=D$10,F19,D$10-SUM(E$17:E19))</f>
        <v>8389606.5081580672</v>
      </c>
      <c r="E20" s="162">
        <f t="shared" si="5"/>
        <v>218244.25465113699</v>
      </c>
      <c r="F20" s="161">
        <f t="shared" si="6"/>
        <v>8171362.2535069305</v>
      </c>
      <c r="G20" s="163">
        <f t="shared" si="7"/>
        <v>1191126.8683912584</v>
      </c>
      <c r="H20" s="145">
        <f t="shared" si="8"/>
        <v>1191126.8683912584</v>
      </c>
      <c r="I20" s="158">
        <f t="shared" si="4"/>
        <v>0</v>
      </c>
      <c r="J20" s="158"/>
      <c r="K20" s="316"/>
      <c r="L20" s="160">
        <f t="shared" si="1"/>
        <v>0</v>
      </c>
      <c r="M20" s="316"/>
      <c r="N20" s="160">
        <f t="shared" si="2"/>
        <v>0</v>
      </c>
      <c r="O20" s="160">
        <f t="shared" si="3"/>
        <v>0</v>
      </c>
      <c r="P20" s="4"/>
    </row>
    <row r="21" spans="2:16">
      <c r="B21" t="str">
        <f t="shared" si="0"/>
        <v/>
      </c>
      <c r="C21" s="155">
        <f>IF(D11="","-",+C20+1)</f>
        <v>2021</v>
      </c>
      <c r="D21" s="164">
        <f>IF(F20+SUM(E$17:E20)=D$10,F20,D$10-SUM(E$17:E20))</f>
        <v>8171362.2535069305</v>
      </c>
      <c r="E21" s="162">
        <f t="shared" si="5"/>
        <v>218244.25465113699</v>
      </c>
      <c r="F21" s="161">
        <f t="shared" si="6"/>
        <v>7953117.9988557938</v>
      </c>
      <c r="G21" s="163">
        <f t="shared" si="7"/>
        <v>1165485.1267812809</v>
      </c>
      <c r="H21" s="145">
        <f t="shared" si="8"/>
        <v>1165485.1267812809</v>
      </c>
      <c r="I21" s="158">
        <f t="shared" si="4"/>
        <v>0</v>
      </c>
      <c r="J21" s="158"/>
      <c r="K21" s="316"/>
      <c r="L21" s="160">
        <f t="shared" si="1"/>
        <v>0</v>
      </c>
      <c r="M21" s="316"/>
      <c r="N21" s="160">
        <f t="shared" si="2"/>
        <v>0</v>
      </c>
      <c r="O21" s="160">
        <f t="shared" si="3"/>
        <v>0</v>
      </c>
      <c r="P21" s="4"/>
    </row>
    <row r="22" spans="2:16">
      <c r="B22" t="str">
        <f t="shared" si="0"/>
        <v/>
      </c>
      <c r="C22" s="155">
        <f>IF(D11="","-",+C21+1)</f>
        <v>2022</v>
      </c>
      <c r="D22" s="164">
        <f>IF(F21+SUM(E$17:E21)=D$10,F21,D$10-SUM(E$17:E21))</f>
        <v>7953117.9988557938</v>
      </c>
      <c r="E22" s="162">
        <f t="shared" si="5"/>
        <v>218244.25465113699</v>
      </c>
      <c r="F22" s="161">
        <f t="shared" si="6"/>
        <v>7734873.7442046572</v>
      </c>
      <c r="G22" s="163">
        <f t="shared" si="7"/>
        <v>1139843.3851713033</v>
      </c>
      <c r="H22" s="145">
        <f t="shared" si="8"/>
        <v>1139843.3851713033</v>
      </c>
      <c r="I22" s="158">
        <f t="shared" si="4"/>
        <v>0</v>
      </c>
      <c r="J22" s="158"/>
      <c r="K22" s="316"/>
      <c r="L22" s="160">
        <f t="shared" si="1"/>
        <v>0</v>
      </c>
      <c r="M22" s="316"/>
      <c r="N22" s="160">
        <f t="shared" si="2"/>
        <v>0</v>
      </c>
      <c r="O22" s="160">
        <f t="shared" si="3"/>
        <v>0</v>
      </c>
      <c r="P22" s="4"/>
    </row>
    <row r="23" spans="2:16">
      <c r="B23" t="str">
        <f t="shared" si="0"/>
        <v/>
      </c>
      <c r="C23" s="155">
        <f>IF(D11="","-",+C22+1)</f>
        <v>2023</v>
      </c>
      <c r="D23" s="164">
        <f>IF(F22+SUM(E$17:E22)=D$10,F22,D$10-SUM(E$17:E22))</f>
        <v>7734873.7442046572</v>
      </c>
      <c r="E23" s="162">
        <f t="shared" si="5"/>
        <v>218244.25465113699</v>
      </c>
      <c r="F23" s="161">
        <f t="shared" si="6"/>
        <v>7516629.4895535205</v>
      </c>
      <c r="G23" s="163">
        <f t="shared" si="7"/>
        <v>1114201.6435613257</v>
      </c>
      <c r="H23" s="145">
        <f t="shared" si="8"/>
        <v>1114201.6435613257</v>
      </c>
      <c r="I23" s="158">
        <f t="shared" si="4"/>
        <v>0</v>
      </c>
      <c r="J23" s="158"/>
      <c r="K23" s="316"/>
      <c r="L23" s="160">
        <f t="shared" si="1"/>
        <v>0</v>
      </c>
      <c r="M23" s="316"/>
      <c r="N23" s="160">
        <f t="shared" si="2"/>
        <v>0</v>
      </c>
      <c r="O23" s="160">
        <f t="shared" si="3"/>
        <v>0</v>
      </c>
      <c r="P23" s="4"/>
    </row>
    <row r="24" spans="2:16">
      <c r="B24" t="str">
        <f t="shared" si="0"/>
        <v/>
      </c>
      <c r="C24" s="155">
        <f>IF(D11="","-",+C23+1)</f>
        <v>2024</v>
      </c>
      <c r="D24" s="164">
        <f>IF(F23+SUM(E$17:E23)=D$10,F23,D$10-SUM(E$17:E23))</f>
        <v>7516629.4895535205</v>
      </c>
      <c r="E24" s="162">
        <f t="shared" si="5"/>
        <v>218244.25465113699</v>
      </c>
      <c r="F24" s="161">
        <f t="shared" si="6"/>
        <v>7298385.2349023838</v>
      </c>
      <c r="G24" s="163">
        <f t="shared" si="7"/>
        <v>1088559.9019513479</v>
      </c>
      <c r="H24" s="145">
        <f t="shared" si="8"/>
        <v>1088559.9019513479</v>
      </c>
      <c r="I24" s="158">
        <f t="shared" si="4"/>
        <v>0</v>
      </c>
      <c r="J24" s="158"/>
      <c r="K24" s="316"/>
      <c r="L24" s="160">
        <f t="shared" si="1"/>
        <v>0</v>
      </c>
      <c r="M24" s="316"/>
      <c r="N24" s="160">
        <f t="shared" si="2"/>
        <v>0</v>
      </c>
      <c r="O24" s="160">
        <f t="shared" si="3"/>
        <v>0</v>
      </c>
      <c r="P24" s="4"/>
    </row>
    <row r="25" spans="2:16">
      <c r="B25" t="str">
        <f t="shared" si="0"/>
        <v/>
      </c>
      <c r="C25" s="155">
        <f>IF(D11="","-",+C24+1)</f>
        <v>2025</v>
      </c>
      <c r="D25" s="164">
        <f>IF(F24+SUM(E$17:E24)=D$10,F24,D$10-SUM(E$17:E24))</f>
        <v>7298385.2349023838</v>
      </c>
      <c r="E25" s="162">
        <f t="shared" si="5"/>
        <v>218244.25465113699</v>
      </c>
      <c r="F25" s="161">
        <f t="shared" si="6"/>
        <v>7080140.9802512471</v>
      </c>
      <c r="G25" s="163">
        <f t="shared" si="7"/>
        <v>1062918.1603413704</v>
      </c>
      <c r="H25" s="145">
        <f t="shared" si="8"/>
        <v>1062918.1603413704</v>
      </c>
      <c r="I25" s="158">
        <f t="shared" si="4"/>
        <v>0</v>
      </c>
      <c r="J25" s="158"/>
      <c r="K25" s="316"/>
      <c r="L25" s="160">
        <f t="shared" si="1"/>
        <v>0</v>
      </c>
      <c r="M25" s="316"/>
      <c r="N25" s="160">
        <f t="shared" si="2"/>
        <v>0</v>
      </c>
      <c r="O25" s="160">
        <f t="shared" si="3"/>
        <v>0</v>
      </c>
      <c r="P25" s="4"/>
    </row>
    <row r="26" spans="2:16">
      <c r="B26" t="str">
        <f t="shared" si="0"/>
        <v/>
      </c>
      <c r="C26" s="155">
        <f>IF(D11="","-",+C25+1)</f>
        <v>2026</v>
      </c>
      <c r="D26" s="164">
        <f>IF(F25+SUM(E$17:E25)=D$10,F25,D$10-SUM(E$17:E25))</f>
        <v>7080140.9802512471</v>
      </c>
      <c r="E26" s="162">
        <f t="shared" si="5"/>
        <v>218244.25465113699</v>
      </c>
      <c r="F26" s="161">
        <f t="shared" si="6"/>
        <v>6861896.7256001104</v>
      </c>
      <c r="G26" s="163">
        <f t="shared" si="7"/>
        <v>1037276.4187313928</v>
      </c>
      <c r="H26" s="145">
        <f t="shared" si="8"/>
        <v>1037276.4187313928</v>
      </c>
      <c r="I26" s="158">
        <f t="shared" si="4"/>
        <v>0</v>
      </c>
      <c r="J26" s="158"/>
      <c r="K26" s="316"/>
      <c r="L26" s="160">
        <f t="shared" si="1"/>
        <v>0</v>
      </c>
      <c r="M26" s="316"/>
      <c r="N26" s="160">
        <f t="shared" si="2"/>
        <v>0</v>
      </c>
      <c r="O26" s="160">
        <f t="shared" si="3"/>
        <v>0</v>
      </c>
      <c r="P26" s="4"/>
    </row>
    <row r="27" spans="2:16">
      <c r="B27" t="str">
        <f t="shared" si="0"/>
        <v/>
      </c>
      <c r="C27" s="155">
        <f>IF(D11="","-",+C26+1)</f>
        <v>2027</v>
      </c>
      <c r="D27" s="164">
        <f>IF(F26+SUM(E$17:E26)=D$10,F26,D$10-SUM(E$17:E26))</f>
        <v>6861896.7256001104</v>
      </c>
      <c r="E27" s="162">
        <f t="shared" si="5"/>
        <v>218244.25465113699</v>
      </c>
      <c r="F27" s="161">
        <f t="shared" si="6"/>
        <v>6643652.4709489737</v>
      </c>
      <c r="G27" s="163">
        <f t="shared" si="7"/>
        <v>1011634.677121415</v>
      </c>
      <c r="H27" s="145">
        <f t="shared" si="8"/>
        <v>1011634.677121415</v>
      </c>
      <c r="I27" s="158">
        <f t="shared" si="4"/>
        <v>0</v>
      </c>
      <c r="J27" s="158"/>
      <c r="K27" s="316"/>
      <c r="L27" s="160">
        <f t="shared" si="1"/>
        <v>0</v>
      </c>
      <c r="M27" s="316"/>
      <c r="N27" s="160">
        <f t="shared" si="2"/>
        <v>0</v>
      </c>
      <c r="O27" s="160">
        <f t="shared" si="3"/>
        <v>0</v>
      </c>
      <c r="P27" s="4"/>
    </row>
    <row r="28" spans="2:16">
      <c r="B28" t="str">
        <f t="shared" si="0"/>
        <v/>
      </c>
      <c r="C28" s="155">
        <f>IF(D11="","-",+C27+1)</f>
        <v>2028</v>
      </c>
      <c r="D28" s="164">
        <f>IF(F27+SUM(E$17:E27)=D$10,F27,D$10-SUM(E$17:E27))</f>
        <v>6643652.4709489737</v>
      </c>
      <c r="E28" s="162">
        <f t="shared" si="5"/>
        <v>218244.25465113699</v>
      </c>
      <c r="F28" s="161">
        <f t="shared" si="6"/>
        <v>6425408.216297837</v>
      </c>
      <c r="G28" s="163">
        <f t="shared" si="7"/>
        <v>985992.93551143748</v>
      </c>
      <c r="H28" s="145">
        <f t="shared" si="8"/>
        <v>985992.93551143748</v>
      </c>
      <c r="I28" s="158">
        <f t="shared" si="4"/>
        <v>0</v>
      </c>
      <c r="J28" s="158"/>
      <c r="K28" s="316"/>
      <c r="L28" s="160">
        <f t="shared" si="1"/>
        <v>0</v>
      </c>
      <c r="M28" s="316"/>
      <c r="N28" s="160">
        <f t="shared" si="2"/>
        <v>0</v>
      </c>
      <c r="O28" s="160">
        <f t="shared" si="3"/>
        <v>0</v>
      </c>
      <c r="P28" s="4"/>
    </row>
    <row r="29" spans="2:16">
      <c r="B29" t="str">
        <f t="shared" si="0"/>
        <v/>
      </c>
      <c r="C29" s="155">
        <f>IF(D11="","-",+C28+1)</f>
        <v>2029</v>
      </c>
      <c r="D29" s="164">
        <f>IF(F28+SUM(E$17:E28)=D$10,F28,D$10-SUM(E$17:E28))</f>
        <v>6425408.216297837</v>
      </c>
      <c r="E29" s="162">
        <f t="shared" si="5"/>
        <v>218244.25465113699</v>
      </c>
      <c r="F29" s="161">
        <f t="shared" si="6"/>
        <v>6207163.9616467003</v>
      </c>
      <c r="G29" s="163">
        <f t="shared" si="7"/>
        <v>960351.19390145992</v>
      </c>
      <c r="H29" s="145">
        <f t="shared" si="8"/>
        <v>960351.19390145992</v>
      </c>
      <c r="I29" s="158">
        <f t="shared" si="4"/>
        <v>0</v>
      </c>
      <c r="J29" s="158"/>
      <c r="K29" s="316"/>
      <c r="L29" s="160">
        <f t="shared" si="1"/>
        <v>0</v>
      </c>
      <c r="M29" s="316"/>
      <c r="N29" s="160">
        <f t="shared" si="2"/>
        <v>0</v>
      </c>
      <c r="O29" s="160">
        <f t="shared" si="3"/>
        <v>0</v>
      </c>
      <c r="P29" s="4"/>
    </row>
    <row r="30" spans="2:16">
      <c r="B30" t="str">
        <f t="shared" si="0"/>
        <v/>
      </c>
      <c r="C30" s="155">
        <f>IF(D11="","-",+C29+1)</f>
        <v>2030</v>
      </c>
      <c r="D30" s="164">
        <f>IF(F29+SUM(E$17:E29)=D$10,F29,D$10-SUM(E$17:E29))</f>
        <v>6207163.9616467003</v>
      </c>
      <c r="E30" s="162">
        <f t="shared" si="5"/>
        <v>218244.25465113699</v>
      </c>
      <c r="F30" s="161">
        <f t="shared" si="6"/>
        <v>5988919.7069955636</v>
      </c>
      <c r="G30" s="163">
        <f t="shared" si="7"/>
        <v>934709.45229148213</v>
      </c>
      <c r="H30" s="145">
        <f t="shared" si="8"/>
        <v>934709.45229148213</v>
      </c>
      <c r="I30" s="158">
        <f t="shared" si="4"/>
        <v>0</v>
      </c>
      <c r="J30" s="158"/>
      <c r="K30" s="316"/>
      <c r="L30" s="160">
        <f t="shared" si="1"/>
        <v>0</v>
      </c>
      <c r="M30" s="316"/>
      <c r="N30" s="160">
        <f t="shared" si="2"/>
        <v>0</v>
      </c>
      <c r="O30" s="160">
        <f t="shared" si="3"/>
        <v>0</v>
      </c>
      <c r="P30" s="4"/>
    </row>
    <row r="31" spans="2:16">
      <c r="B31" t="str">
        <f t="shared" si="0"/>
        <v/>
      </c>
      <c r="C31" s="155">
        <f>IF(D11="","-",+C30+1)</f>
        <v>2031</v>
      </c>
      <c r="D31" s="164">
        <f>IF(F30+SUM(E$17:E30)=D$10,F30,D$10-SUM(E$17:E30))</f>
        <v>5988919.7069955636</v>
      </c>
      <c r="E31" s="162">
        <f t="shared" si="5"/>
        <v>218244.25465113699</v>
      </c>
      <c r="F31" s="161">
        <f t="shared" si="6"/>
        <v>5770675.4523444269</v>
      </c>
      <c r="G31" s="163">
        <f t="shared" si="7"/>
        <v>909067.71068150457</v>
      </c>
      <c r="H31" s="145">
        <f t="shared" si="8"/>
        <v>909067.71068150457</v>
      </c>
      <c r="I31" s="158">
        <f t="shared" si="4"/>
        <v>0</v>
      </c>
      <c r="J31" s="158"/>
      <c r="K31" s="316"/>
      <c r="L31" s="160">
        <f t="shared" si="1"/>
        <v>0</v>
      </c>
      <c r="M31" s="316"/>
      <c r="N31" s="160">
        <f t="shared" si="2"/>
        <v>0</v>
      </c>
      <c r="O31" s="160">
        <f t="shared" si="3"/>
        <v>0</v>
      </c>
      <c r="P31" s="4"/>
    </row>
    <row r="32" spans="2:16">
      <c r="B32" t="str">
        <f t="shared" si="0"/>
        <v/>
      </c>
      <c r="C32" s="155">
        <f>IF(D11="","-",+C31+1)</f>
        <v>2032</v>
      </c>
      <c r="D32" s="164">
        <f>IF(F31+SUM(E$17:E31)=D$10,F31,D$10-SUM(E$17:E31))</f>
        <v>5770675.4523444269</v>
      </c>
      <c r="E32" s="162">
        <f t="shared" si="5"/>
        <v>218244.25465113699</v>
      </c>
      <c r="F32" s="161">
        <f t="shared" si="6"/>
        <v>5552431.1976932902</v>
      </c>
      <c r="G32" s="163">
        <f t="shared" si="7"/>
        <v>883425.96907152701</v>
      </c>
      <c r="H32" s="145">
        <f t="shared" si="8"/>
        <v>883425.96907152701</v>
      </c>
      <c r="I32" s="158">
        <f t="shared" si="4"/>
        <v>0</v>
      </c>
      <c r="J32" s="158"/>
      <c r="K32" s="316"/>
      <c r="L32" s="160">
        <f t="shared" si="1"/>
        <v>0</v>
      </c>
      <c r="M32" s="316"/>
      <c r="N32" s="160">
        <f t="shared" si="2"/>
        <v>0</v>
      </c>
      <c r="O32" s="160">
        <f t="shared" si="3"/>
        <v>0</v>
      </c>
      <c r="P32" s="4"/>
    </row>
    <row r="33" spans="2:16">
      <c r="B33" t="str">
        <f t="shared" si="0"/>
        <v/>
      </c>
      <c r="C33" s="155">
        <f>IF(D11="","-",+C32+1)</f>
        <v>2033</v>
      </c>
      <c r="D33" s="164">
        <f>IF(F32+SUM(E$17:E32)=D$10,F32,D$10-SUM(E$17:E32))</f>
        <v>5552431.1976932902</v>
      </c>
      <c r="E33" s="162">
        <f t="shared" si="5"/>
        <v>218244.25465113699</v>
      </c>
      <c r="F33" s="161">
        <f t="shared" si="6"/>
        <v>5334186.9430421535</v>
      </c>
      <c r="G33" s="163">
        <f t="shared" si="7"/>
        <v>857784.22746154922</v>
      </c>
      <c r="H33" s="145">
        <f t="shared" si="8"/>
        <v>857784.22746154922</v>
      </c>
      <c r="I33" s="158">
        <f t="shared" si="4"/>
        <v>0</v>
      </c>
      <c r="J33" s="158"/>
      <c r="K33" s="316"/>
      <c r="L33" s="160">
        <f t="shared" si="1"/>
        <v>0</v>
      </c>
      <c r="M33" s="316"/>
      <c r="N33" s="160">
        <f t="shared" si="2"/>
        <v>0</v>
      </c>
      <c r="O33" s="160">
        <f t="shared" si="3"/>
        <v>0</v>
      </c>
      <c r="P33" s="4"/>
    </row>
    <row r="34" spans="2:16">
      <c r="B34" t="str">
        <f t="shared" si="0"/>
        <v/>
      </c>
      <c r="C34" s="155">
        <f>IF(D11="","-",+C33+1)</f>
        <v>2034</v>
      </c>
      <c r="D34" s="164">
        <f>IF(F33+SUM(E$17:E33)=D$10,F33,D$10-SUM(E$17:E33))</f>
        <v>5334186.9430421535</v>
      </c>
      <c r="E34" s="162">
        <f t="shared" si="5"/>
        <v>218244.25465113699</v>
      </c>
      <c r="F34" s="161">
        <f t="shared" si="6"/>
        <v>5115942.6883910168</v>
      </c>
      <c r="G34" s="163">
        <f t="shared" si="7"/>
        <v>832142.48585157166</v>
      </c>
      <c r="H34" s="145">
        <f t="shared" si="8"/>
        <v>832142.48585157166</v>
      </c>
      <c r="I34" s="158">
        <f t="shared" si="4"/>
        <v>0</v>
      </c>
      <c r="J34" s="158"/>
      <c r="K34" s="316"/>
      <c r="L34" s="160">
        <f t="shared" si="1"/>
        <v>0</v>
      </c>
      <c r="M34" s="316"/>
      <c r="N34" s="160">
        <f t="shared" si="2"/>
        <v>0</v>
      </c>
      <c r="O34" s="160">
        <f t="shared" si="3"/>
        <v>0</v>
      </c>
      <c r="P34" s="4"/>
    </row>
    <row r="35" spans="2:16">
      <c r="B35" t="str">
        <f t="shared" si="0"/>
        <v>IU</v>
      </c>
      <c r="C35" s="155">
        <f>IF(D11="","-",+C34+1)</f>
        <v>2035</v>
      </c>
      <c r="D35" s="164">
        <f>IF(F34+SUM(E$17:E34)=D$10,F34,D$10-SUM(E$17:E34))</f>
        <v>5115942.6883910112</v>
      </c>
      <c r="E35" s="162">
        <f t="shared" si="5"/>
        <v>218244.25465113699</v>
      </c>
      <c r="F35" s="161">
        <f t="shared" si="6"/>
        <v>4897698.4337398745</v>
      </c>
      <c r="G35" s="163">
        <f t="shared" si="7"/>
        <v>806500.74424159341</v>
      </c>
      <c r="H35" s="145">
        <f t="shared" si="8"/>
        <v>806500.74424159341</v>
      </c>
      <c r="I35" s="158">
        <f t="shared" si="4"/>
        <v>0</v>
      </c>
      <c r="J35" s="158"/>
      <c r="K35" s="316"/>
      <c r="L35" s="160">
        <f t="shared" si="1"/>
        <v>0</v>
      </c>
      <c r="M35" s="316"/>
      <c r="N35" s="160">
        <f t="shared" si="2"/>
        <v>0</v>
      </c>
      <c r="O35" s="160">
        <f t="shared" si="3"/>
        <v>0</v>
      </c>
      <c r="P35" s="4"/>
    </row>
    <row r="36" spans="2:16">
      <c r="B36" t="str">
        <f t="shared" si="0"/>
        <v/>
      </c>
      <c r="C36" s="155">
        <f>IF(D11="","-",+C35+1)</f>
        <v>2036</v>
      </c>
      <c r="D36" s="164">
        <f>IF(F35+SUM(E$17:E35)=D$10,F35,D$10-SUM(E$17:E35))</f>
        <v>4897698.4337398745</v>
      </c>
      <c r="E36" s="162">
        <f t="shared" si="5"/>
        <v>218244.25465113699</v>
      </c>
      <c r="F36" s="161">
        <f t="shared" si="6"/>
        <v>4679454.1790887378</v>
      </c>
      <c r="G36" s="163">
        <f t="shared" si="7"/>
        <v>780859.00263161585</v>
      </c>
      <c r="H36" s="145">
        <f t="shared" si="8"/>
        <v>780859.00263161585</v>
      </c>
      <c r="I36" s="158">
        <f t="shared" si="4"/>
        <v>0</v>
      </c>
      <c r="J36" s="158"/>
      <c r="K36" s="316"/>
      <c r="L36" s="160">
        <f t="shared" si="1"/>
        <v>0</v>
      </c>
      <c r="M36" s="316"/>
      <c r="N36" s="160">
        <f t="shared" si="2"/>
        <v>0</v>
      </c>
      <c r="O36" s="160">
        <f t="shared" si="3"/>
        <v>0</v>
      </c>
      <c r="P36" s="4"/>
    </row>
    <row r="37" spans="2:16">
      <c r="B37" t="str">
        <f t="shared" si="0"/>
        <v/>
      </c>
      <c r="C37" s="155">
        <f>IF(D11="","-",+C36+1)</f>
        <v>2037</v>
      </c>
      <c r="D37" s="164">
        <f>IF(F36+SUM(E$17:E36)=D$10,F36,D$10-SUM(E$17:E36))</f>
        <v>4679454.1790887378</v>
      </c>
      <c r="E37" s="162">
        <f t="shared" si="5"/>
        <v>218244.25465113699</v>
      </c>
      <c r="F37" s="161">
        <f t="shared" si="6"/>
        <v>4461209.9244376011</v>
      </c>
      <c r="G37" s="163">
        <f t="shared" si="7"/>
        <v>755217.26102163806</v>
      </c>
      <c r="H37" s="145">
        <f t="shared" si="8"/>
        <v>755217.26102163806</v>
      </c>
      <c r="I37" s="158">
        <f t="shared" si="4"/>
        <v>0</v>
      </c>
      <c r="J37" s="158"/>
      <c r="K37" s="316"/>
      <c r="L37" s="160">
        <f t="shared" si="1"/>
        <v>0</v>
      </c>
      <c r="M37" s="316"/>
      <c r="N37" s="160">
        <f t="shared" si="2"/>
        <v>0</v>
      </c>
      <c r="O37" s="160">
        <f t="shared" si="3"/>
        <v>0</v>
      </c>
      <c r="P37" s="4"/>
    </row>
    <row r="38" spans="2:16">
      <c r="B38" t="str">
        <f t="shared" si="0"/>
        <v/>
      </c>
      <c r="C38" s="155">
        <f>IF(D11="","-",+C37+1)</f>
        <v>2038</v>
      </c>
      <c r="D38" s="164">
        <f>IF(F37+SUM(E$17:E37)=D$10,F37,D$10-SUM(E$17:E37))</f>
        <v>4461209.9244376011</v>
      </c>
      <c r="E38" s="162">
        <f t="shared" si="5"/>
        <v>218244.25465113699</v>
      </c>
      <c r="F38" s="161">
        <f t="shared" si="6"/>
        <v>4242965.6697864644</v>
      </c>
      <c r="G38" s="163">
        <f t="shared" si="7"/>
        <v>729575.5194116605</v>
      </c>
      <c r="H38" s="145">
        <f t="shared" si="8"/>
        <v>729575.5194116605</v>
      </c>
      <c r="I38" s="158">
        <f t="shared" si="4"/>
        <v>0</v>
      </c>
      <c r="J38" s="158"/>
      <c r="K38" s="316"/>
      <c r="L38" s="160">
        <f t="shared" si="1"/>
        <v>0</v>
      </c>
      <c r="M38" s="316"/>
      <c r="N38" s="160">
        <f t="shared" si="2"/>
        <v>0</v>
      </c>
      <c r="O38" s="160">
        <f t="shared" si="3"/>
        <v>0</v>
      </c>
      <c r="P38" s="4"/>
    </row>
    <row r="39" spans="2:16">
      <c r="B39" t="str">
        <f t="shared" si="0"/>
        <v/>
      </c>
      <c r="C39" s="155">
        <f>IF(D11="","-",+C38+1)</f>
        <v>2039</v>
      </c>
      <c r="D39" s="164">
        <f>IF(F38+SUM(E$17:E38)=D$10,F38,D$10-SUM(E$17:E38))</f>
        <v>4242965.6697864644</v>
      </c>
      <c r="E39" s="162">
        <f t="shared" si="5"/>
        <v>218244.25465113699</v>
      </c>
      <c r="F39" s="161">
        <f t="shared" si="6"/>
        <v>4024721.4151353273</v>
      </c>
      <c r="G39" s="163">
        <f t="shared" si="7"/>
        <v>703933.77780168294</v>
      </c>
      <c r="H39" s="145">
        <f t="shared" si="8"/>
        <v>703933.77780168294</v>
      </c>
      <c r="I39" s="158">
        <f t="shared" si="4"/>
        <v>0</v>
      </c>
      <c r="J39" s="158"/>
      <c r="K39" s="316"/>
      <c r="L39" s="160">
        <f t="shared" si="1"/>
        <v>0</v>
      </c>
      <c r="M39" s="316"/>
      <c r="N39" s="160">
        <f t="shared" si="2"/>
        <v>0</v>
      </c>
      <c r="O39" s="160">
        <f t="shared" si="3"/>
        <v>0</v>
      </c>
      <c r="P39" s="4"/>
    </row>
    <row r="40" spans="2:16">
      <c r="B40" t="str">
        <f t="shared" si="0"/>
        <v/>
      </c>
      <c r="C40" s="155">
        <f>IF(D11="","-",+C39+1)</f>
        <v>2040</v>
      </c>
      <c r="D40" s="164">
        <f>IF(F39+SUM(E$17:E39)=D$10,F39,D$10-SUM(E$17:E39))</f>
        <v>4024721.4151353273</v>
      </c>
      <c r="E40" s="162">
        <f t="shared" si="5"/>
        <v>218244.25465113699</v>
      </c>
      <c r="F40" s="161">
        <f t="shared" si="6"/>
        <v>3806477.1604841901</v>
      </c>
      <c r="G40" s="163">
        <f t="shared" si="7"/>
        <v>678292.03619170515</v>
      </c>
      <c r="H40" s="145">
        <f t="shared" si="8"/>
        <v>678292.03619170515</v>
      </c>
      <c r="I40" s="158">
        <f t="shared" si="4"/>
        <v>0</v>
      </c>
      <c r="J40" s="158"/>
      <c r="K40" s="316"/>
      <c r="L40" s="160">
        <f t="shared" si="1"/>
        <v>0</v>
      </c>
      <c r="M40" s="316"/>
      <c r="N40" s="160">
        <f t="shared" si="2"/>
        <v>0</v>
      </c>
      <c r="O40" s="160">
        <f t="shared" si="3"/>
        <v>0</v>
      </c>
      <c r="P40" s="4"/>
    </row>
    <row r="41" spans="2:16">
      <c r="B41" t="str">
        <f t="shared" si="0"/>
        <v/>
      </c>
      <c r="C41" s="155">
        <f>IF(D11="","-",+C40+1)</f>
        <v>2041</v>
      </c>
      <c r="D41" s="164">
        <f>IF(F40+SUM(E$17:E40)=D$10,F40,D$10-SUM(E$17:E40))</f>
        <v>3806477.1604841901</v>
      </c>
      <c r="E41" s="162">
        <f t="shared" si="5"/>
        <v>218244.25465113699</v>
      </c>
      <c r="F41" s="161">
        <f t="shared" si="6"/>
        <v>3588232.9058330529</v>
      </c>
      <c r="G41" s="163">
        <f t="shared" si="7"/>
        <v>652650.29458172759</v>
      </c>
      <c r="H41" s="145">
        <f t="shared" si="8"/>
        <v>652650.29458172759</v>
      </c>
      <c r="I41" s="158">
        <f t="shared" si="4"/>
        <v>0</v>
      </c>
      <c r="J41" s="158"/>
      <c r="K41" s="316"/>
      <c r="L41" s="160">
        <f t="shared" si="1"/>
        <v>0</v>
      </c>
      <c r="M41" s="316"/>
      <c r="N41" s="160">
        <f t="shared" si="2"/>
        <v>0</v>
      </c>
      <c r="O41" s="160">
        <f t="shared" si="3"/>
        <v>0</v>
      </c>
      <c r="P41" s="4"/>
    </row>
    <row r="42" spans="2:16">
      <c r="B42" t="str">
        <f t="shared" si="0"/>
        <v/>
      </c>
      <c r="C42" s="155">
        <f>IF(D11="","-",+C41+1)</f>
        <v>2042</v>
      </c>
      <c r="D42" s="164">
        <f>IF(F41+SUM(E$17:E41)=D$10,F41,D$10-SUM(E$17:E41))</f>
        <v>3588232.9058330529</v>
      </c>
      <c r="E42" s="162">
        <f t="shared" si="5"/>
        <v>218244.25465113699</v>
      </c>
      <c r="F42" s="161">
        <f t="shared" si="6"/>
        <v>3369988.6511819158</v>
      </c>
      <c r="G42" s="163">
        <f t="shared" si="7"/>
        <v>627008.5529717498</v>
      </c>
      <c r="H42" s="145">
        <f t="shared" si="8"/>
        <v>627008.5529717498</v>
      </c>
      <c r="I42" s="158">
        <f t="shared" si="4"/>
        <v>0</v>
      </c>
      <c r="J42" s="158"/>
      <c r="K42" s="316"/>
      <c r="L42" s="160">
        <f t="shared" si="1"/>
        <v>0</v>
      </c>
      <c r="M42" s="316"/>
      <c r="N42" s="160">
        <f t="shared" si="2"/>
        <v>0</v>
      </c>
      <c r="O42" s="160">
        <f t="shared" si="3"/>
        <v>0</v>
      </c>
      <c r="P42" s="4"/>
    </row>
    <row r="43" spans="2:16">
      <c r="B43" t="str">
        <f t="shared" si="0"/>
        <v/>
      </c>
      <c r="C43" s="155">
        <f>IF(D11="","-",+C42+1)</f>
        <v>2043</v>
      </c>
      <c r="D43" s="164">
        <f>IF(F42+SUM(E$17:E42)=D$10,F42,D$10-SUM(E$17:E42))</f>
        <v>3369988.6511819158</v>
      </c>
      <c r="E43" s="162">
        <f t="shared" si="5"/>
        <v>218244.25465113699</v>
      </c>
      <c r="F43" s="161">
        <f t="shared" si="6"/>
        <v>3151744.3965307786</v>
      </c>
      <c r="G43" s="163">
        <f t="shared" si="7"/>
        <v>601366.81136177212</v>
      </c>
      <c r="H43" s="145">
        <f t="shared" si="8"/>
        <v>601366.81136177212</v>
      </c>
      <c r="I43" s="158">
        <f t="shared" si="4"/>
        <v>0</v>
      </c>
      <c r="J43" s="158"/>
      <c r="K43" s="316"/>
      <c r="L43" s="160">
        <f t="shared" si="1"/>
        <v>0</v>
      </c>
      <c r="M43" s="316"/>
      <c r="N43" s="160">
        <f t="shared" si="2"/>
        <v>0</v>
      </c>
      <c r="O43" s="160">
        <f t="shared" si="3"/>
        <v>0</v>
      </c>
      <c r="P43" s="4"/>
    </row>
    <row r="44" spans="2:16">
      <c r="B44" t="str">
        <f t="shared" si="0"/>
        <v/>
      </c>
      <c r="C44" s="155">
        <f>IF(D11="","-",+C43+1)</f>
        <v>2044</v>
      </c>
      <c r="D44" s="164">
        <f>IF(F43+SUM(E$17:E43)=D$10,F43,D$10-SUM(E$17:E43))</f>
        <v>3151744.3965307786</v>
      </c>
      <c r="E44" s="162">
        <f t="shared" si="5"/>
        <v>218244.25465113699</v>
      </c>
      <c r="F44" s="161">
        <f t="shared" si="6"/>
        <v>2933500.1418796415</v>
      </c>
      <c r="G44" s="163">
        <f t="shared" si="7"/>
        <v>575725.06975179445</v>
      </c>
      <c r="H44" s="145">
        <f t="shared" si="8"/>
        <v>575725.06975179445</v>
      </c>
      <c r="I44" s="158">
        <f t="shared" si="4"/>
        <v>0</v>
      </c>
      <c r="J44" s="158"/>
      <c r="K44" s="316"/>
      <c r="L44" s="160">
        <f t="shared" si="1"/>
        <v>0</v>
      </c>
      <c r="M44" s="316"/>
      <c r="N44" s="160">
        <f t="shared" si="2"/>
        <v>0</v>
      </c>
      <c r="O44" s="160">
        <f t="shared" si="3"/>
        <v>0</v>
      </c>
      <c r="P44" s="4"/>
    </row>
    <row r="45" spans="2:16">
      <c r="B45" t="str">
        <f t="shared" si="0"/>
        <v/>
      </c>
      <c r="C45" s="155">
        <f>IF(D11="","-",+C44+1)</f>
        <v>2045</v>
      </c>
      <c r="D45" s="164">
        <f>IF(F44+SUM(E$17:E44)=D$10,F44,D$10-SUM(E$17:E44))</f>
        <v>2933500.1418796415</v>
      </c>
      <c r="E45" s="162">
        <f t="shared" si="5"/>
        <v>218244.25465113699</v>
      </c>
      <c r="F45" s="161">
        <f t="shared" si="6"/>
        <v>2715255.8872285043</v>
      </c>
      <c r="G45" s="163">
        <f t="shared" si="7"/>
        <v>550083.32814181678</v>
      </c>
      <c r="H45" s="145">
        <f t="shared" si="8"/>
        <v>550083.32814181678</v>
      </c>
      <c r="I45" s="158">
        <f t="shared" si="4"/>
        <v>0</v>
      </c>
      <c r="J45" s="158"/>
      <c r="K45" s="316"/>
      <c r="L45" s="160">
        <f t="shared" si="1"/>
        <v>0</v>
      </c>
      <c r="M45" s="316"/>
      <c r="N45" s="160">
        <f t="shared" si="2"/>
        <v>0</v>
      </c>
      <c r="O45" s="160">
        <f t="shared" si="3"/>
        <v>0</v>
      </c>
      <c r="P45" s="4"/>
    </row>
    <row r="46" spans="2:16">
      <c r="B46" t="str">
        <f t="shared" si="0"/>
        <v/>
      </c>
      <c r="C46" s="155">
        <f>IF(D11="","-",+C45+1)</f>
        <v>2046</v>
      </c>
      <c r="D46" s="164">
        <f>IF(F45+SUM(E$17:E45)=D$10,F45,D$10-SUM(E$17:E45))</f>
        <v>2715255.8872285043</v>
      </c>
      <c r="E46" s="162">
        <f t="shared" si="5"/>
        <v>218244.25465113699</v>
      </c>
      <c r="F46" s="161">
        <f t="shared" si="6"/>
        <v>2497011.6325773671</v>
      </c>
      <c r="G46" s="163">
        <f t="shared" si="7"/>
        <v>524441.5865318391</v>
      </c>
      <c r="H46" s="145">
        <f t="shared" si="8"/>
        <v>524441.5865318391</v>
      </c>
      <c r="I46" s="158">
        <f t="shared" si="4"/>
        <v>0</v>
      </c>
      <c r="J46" s="158"/>
      <c r="K46" s="316"/>
      <c r="L46" s="160">
        <f t="shared" si="1"/>
        <v>0</v>
      </c>
      <c r="M46" s="316"/>
      <c r="N46" s="160">
        <f t="shared" si="2"/>
        <v>0</v>
      </c>
      <c r="O46" s="160">
        <f t="shared" si="3"/>
        <v>0</v>
      </c>
      <c r="P46" s="4"/>
    </row>
    <row r="47" spans="2:16">
      <c r="B47" t="str">
        <f t="shared" si="0"/>
        <v/>
      </c>
      <c r="C47" s="155">
        <f>IF(D11="","-",+C46+1)</f>
        <v>2047</v>
      </c>
      <c r="D47" s="164">
        <f>IF(F46+SUM(E$17:E46)=D$10,F46,D$10-SUM(E$17:E46))</f>
        <v>2497011.6325773671</v>
      </c>
      <c r="E47" s="162">
        <f t="shared" si="5"/>
        <v>218244.25465113699</v>
      </c>
      <c r="F47" s="161">
        <f t="shared" si="6"/>
        <v>2278767.37792623</v>
      </c>
      <c r="G47" s="163">
        <f t="shared" si="7"/>
        <v>498799.84492186137</v>
      </c>
      <c r="H47" s="145">
        <f t="shared" si="8"/>
        <v>498799.84492186137</v>
      </c>
      <c r="I47" s="158">
        <f t="shared" si="4"/>
        <v>0</v>
      </c>
      <c r="J47" s="158"/>
      <c r="K47" s="316"/>
      <c r="L47" s="160">
        <f t="shared" si="1"/>
        <v>0</v>
      </c>
      <c r="M47" s="316"/>
      <c r="N47" s="160">
        <f t="shared" si="2"/>
        <v>0</v>
      </c>
      <c r="O47" s="160">
        <f t="shared" si="3"/>
        <v>0</v>
      </c>
      <c r="P47" s="4"/>
    </row>
    <row r="48" spans="2:16">
      <c r="B48" t="str">
        <f t="shared" si="0"/>
        <v/>
      </c>
      <c r="C48" s="155">
        <f>IF(D11="","-",+C47+1)</f>
        <v>2048</v>
      </c>
      <c r="D48" s="164">
        <f>IF(F47+SUM(E$17:E47)=D$10,F47,D$10-SUM(E$17:E47))</f>
        <v>2278767.37792623</v>
      </c>
      <c r="E48" s="162">
        <f t="shared" si="5"/>
        <v>218244.25465113699</v>
      </c>
      <c r="F48" s="161">
        <f t="shared" si="6"/>
        <v>2060523.123275093</v>
      </c>
      <c r="G48" s="163">
        <f t="shared" si="7"/>
        <v>473158.10331188375</v>
      </c>
      <c r="H48" s="145">
        <f t="shared" si="8"/>
        <v>473158.10331188375</v>
      </c>
      <c r="I48" s="158">
        <f t="shared" si="4"/>
        <v>0</v>
      </c>
      <c r="J48" s="158"/>
      <c r="K48" s="316"/>
      <c r="L48" s="160">
        <f t="shared" si="1"/>
        <v>0</v>
      </c>
      <c r="M48" s="316"/>
      <c r="N48" s="160">
        <f t="shared" si="2"/>
        <v>0</v>
      </c>
      <c r="O48" s="160">
        <f t="shared" si="3"/>
        <v>0</v>
      </c>
      <c r="P48" s="4"/>
    </row>
    <row r="49" spans="2:16">
      <c r="B49" t="str">
        <f t="shared" si="0"/>
        <v/>
      </c>
      <c r="C49" s="155">
        <f>IF(D11="","-",+C48+1)</f>
        <v>2049</v>
      </c>
      <c r="D49" s="164">
        <f>IF(F48+SUM(E$17:E48)=D$10,F48,D$10-SUM(E$17:E48))</f>
        <v>2060523.123275093</v>
      </c>
      <c r="E49" s="162">
        <f t="shared" si="5"/>
        <v>218244.25465113699</v>
      </c>
      <c r="F49" s="161">
        <f t="shared" si="6"/>
        <v>1842278.8686239561</v>
      </c>
      <c r="G49" s="163">
        <f t="shared" ref="G49:G71" si="9">(D49+F49)/2*I$12+E49</f>
        <v>447516.36170190602</v>
      </c>
      <c r="H49" s="145">
        <f t="shared" ref="H49:H71" si="10">+(D49+F49)/2*I$13+E49</f>
        <v>447516.36170190602</v>
      </c>
      <c r="I49" s="158">
        <f t="shared" si="4"/>
        <v>0</v>
      </c>
      <c r="J49" s="158"/>
      <c r="K49" s="316"/>
      <c r="L49" s="160">
        <f t="shared" si="1"/>
        <v>0</v>
      </c>
      <c r="M49" s="316"/>
      <c r="N49" s="160">
        <f t="shared" si="2"/>
        <v>0</v>
      </c>
      <c r="O49" s="160">
        <f t="shared" si="3"/>
        <v>0</v>
      </c>
      <c r="P49" s="4"/>
    </row>
    <row r="50" spans="2:16">
      <c r="B50" t="str">
        <f t="shared" si="0"/>
        <v/>
      </c>
      <c r="C50" s="155">
        <f>IF(D11="","-",+C49+1)</f>
        <v>2050</v>
      </c>
      <c r="D50" s="164">
        <f>IF(F49+SUM(E$17:E49)=D$10,F49,D$10-SUM(E$17:E49))</f>
        <v>1842278.8686239561</v>
      </c>
      <c r="E50" s="162">
        <f t="shared" ref="E50:E71" si="11">IF(+I$14&lt;F49,I$14,D50)</f>
        <v>218244.25465113699</v>
      </c>
      <c r="F50" s="161">
        <f t="shared" si="6"/>
        <v>1624034.6139728192</v>
      </c>
      <c r="G50" s="163">
        <f t="shared" si="9"/>
        <v>421874.6200919284</v>
      </c>
      <c r="H50" s="145">
        <f t="shared" si="10"/>
        <v>421874.6200919284</v>
      </c>
      <c r="I50" s="158">
        <f t="shared" si="4"/>
        <v>0</v>
      </c>
      <c r="J50" s="158"/>
      <c r="K50" s="316"/>
      <c r="L50" s="160">
        <f t="shared" si="1"/>
        <v>0</v>
      </c>
      <c r="M50" s="316"/>
      <c r="N50" s="160">
        <f t="shared" si="2"/>
        <v>0</v>
      </c>
      <c r="O50" s="160">
        <f t="shared" si="3"/>
        <v>0</v>
      </c>
      <c r="P50" s="4"/>
    </row>
    <row r="51" spans="2:16">
      <c r="B51" t="str">
        <f t="shared" si="0"/>
        <v/>
      </c>
      <c r="C51" s="155">
        <f>IF(D11="","-",+C50+1)</f>
        <v>2051</v>
      </c>
      <c r="D51" s="164">
        <f>IF(F50+SUM(E$17:E50)=D$10,F50,D$10-SUM(E$17:E50))</f>
        <v>1624034.6139728241</v>
      </c>
      <c r="E51" s="162">
        <f t="shared" si="11"/>
        <v>218244.25465113699</v>
      </c>
      <c r="F51" s="161">
        <f t="shared" si="6"/>
        <v>1405790.3593216871</v>
      </c>
      <c r="G51" s="163">
        <f t="shared" si="9"/>
        <v>396232.87848195131</v>
      </c>
      <c r="H51" s="145">
        <f t="shared" si="10"/>
        <v>396232.87848195131</v>
      </c>
      <c r="I51" s="158">
        <f t="shared" si="4"/>
        <v>0</v>
      </c>
      <c r="J51" s="158"/>
      <c r="K51" s="316"/>
      <c r="L51" s="160">
        <f t="shared" si="1"/>
        <v>0</v>
      </c>
      <c r="M51" s="316"/>
      <c r="N51" s="160">
        <f t="shared" si="2"/>
        <v>0</v>
      </c>
      <c r="O51" s="160">
        <f t="shared" si="3"/>
        <v>0</v>
      </c>
      <c r="P51" s="4"/>
    </row>
    <row r="52" spans="2:16">
      <c r="B52" t="str">
        <f t="shared" si="0"/>
        <v/>
      </c>
      <c r="C52" s="155">
        <f>IF(D11="","-",+C51+1)</f>
        <v>2052</v>
      </c>
      <c r="D52" s="164">
        <f>IF(F51+SUM(E$17:E51)=D$10,F51,D$10-SUM(E$17:E51))</f>
        <v>1405790.3593216871</v>
      </c>
      <c r="E52" s="162">
        <f t="shared" si="11"/>
        <v>218244.25465113699</v>
      </c>
      <c r="F52" s="161">
        <f t="shared" si="6"/>
        <v>1187546.1046705502</v>
      </c>
      <c r="G52" s="163">
        <f t="shared" si="9"/>
        <v>370591.13687197363</v>
      </c>
      <c r="H52" s="145">
        <f t="shared" si="10"/>
        <v>370591.13687197363</v>
      </c>
      <c r="I52" s="158">
        <f t="shared" si="4"/>
        <v>0</v>
      </c>
      <c r="J52" s="158"/>
      <c r="K52" s="316"/>
      <c r="L52" s="160">
        <f t="shared" si="1"/>
        <v>0</v>
      </c>
      <c r="M52" s="316"/>
      <c r="N52" s="160">
        <f t="shared" si="2"/>
        <v>0</v>
      </c>
      <c r="O52" s="160">
        <f t="shared" si="3"/>
        <v>0</v>
      </c>
      <c r="P52" s="4"/>
    </row>
    <row r="53" spans="2:16">
      <c r="B53" t="str">
        <f t="shared" si="0"/>
        <v/>
      </c>
      <c r="C53" s="155">
        <f>IF(D11="","-",+C52+1)</f>
        <v>2053</v>
      </c>
      <c r="D53" s="164">
        <f>IF(F52+SUM(E$17:E52)=D$10,F52,D$10-SUM(E$17:E52))</f>
        <v>1187546.1046705502</v>
      </c>
      <c r="E53" s="162">
        <f t="shared" si="11"/>
        <v>218244.25465113699</v>
      </c>
      <c r="F53" s="161">
        <f t="shared" si="6"/>
        <v>969301.85001941328</v>
      </c>
      <c r="G53" s="163">
        <f t="shared" si="9"/>
        <v>344949.39526199596</v>
      </c>
      <c r="H53" s="145">
        <f t="shared" si="10"/>
        <v>344949.39526199596</v>
      </c>
      <c r="I53" s="158">
        <f t="shared" si="4"/>
        <v>0</v>
      </c>
      <c r="J53" s="158"/>
      <c r="K53" s="316"/>
      <c r="L53" s="160">
        <f t="shared" si="1"/>
        <v>0</v>
      </c>
      <c r="M53" s="316"/>
      <c r="N53" s="160">
        <f t="shared" si="2"/>
        <v>0</v>
      </c>
      <c r="O53" s="160">
        <f t="shared" si="3"/>
        <v>0</v>
      </c>
      <c r="P53" s="4"/>
    </row>
    <row r="54" spans="2:16">
      <c r="B54" t="str">
        <f t="shared" si="0"/>
        <v/>
      </c>
      <c r="C54" s="155">
        <f>IF(D11="","-",+C53+1)</f>
        <v>2054</v>
      </c>
      <c r="D54" s="164">
        <f>IF(F53+SUM(E$17:E53)=D$10,F53,D$10-SUM(E$17:E53))</f>
        <v>969301.85001941328</v>
      </c>
      <c r="E54" s="162">
        <f t="shared" si="11"/>
        <v>218244.25465113699</v>
      </c>
      <c r="F54" s="161">
        <f t="shared" si="6"/>
        <v>751057.59536827635</v>
      </c>
      <c r="G54" s="163">
        <f t="shared" si="9"/>
        <v>319307.65365201834</v>
      </c>
      <c r="H54" s="145">
        <f t="shared" si="10"/>
        <v>319307.65365201834</v>
      </c>
      <c r="I54" s="158">
        <f t="shared" si="4"/>
        <v>0</v>
      </c>
      <c r="J54" s="158"/>
      <c r="K54" s="316"/>
      <c r="L54" s="160">
        <f t="shared" si="1"/>
        <v>0</v>
      </c>
      <c r="M54" s="316"/>
      <c r="N54" s="160">
        <f t="shared" si="2"/>
        <v>0</v>
      </c>
      <c r="O54" s="160">
        <f t="shared" si="3"/>
        <v>0</v>
      </c>
      <c r="P54" s="4"/>
    </row>
    <row r="55" spans="2:16">
      <c r="B55" t="str">
        <f t="shared" si="0"/>
        <v/>
      </c>
      <c r="C55" s="155">
        <f>IF(D11="","-",+C54+1)</f>
        <v>2055</v>
      </c>
      <c r="D55" s="164">
        <f>IF(F54+SUM(E$17:E54)=D$10,F54,D$10-SUM(E$17:E54))</f>
        <v>751057.59536827635</v>
      </c>
      <c r="E55" s="162">
        <f t="shared" si="11"/>
        <v>218244.25465113699</v>
      </c>
      <c r="F55" s="161">
        <f t="shared" si="6"/>
        <v>532813.34071713942</v>
      </c>
      <c r="G55" s="163">
        <f t="shared" si="9"/>
        <v>293665.91204204067</v>
      </c>
      <c r="H55" s="145">
        <f t="shared" si="10"/>
        <v>293665.91204204067</v>
      </c>
      <c r="I55" s="158">
        <f t="shared" si="4"/>
        <v>0</v>
      </c>
      <c r="J55" s="158"/>
      <c r="K55" s="316"/>
      <c r="L55" s="160">
        <f t="shared" si="1"/>
        <v>0</v>
      </c>
      <c r="M55" s="316"/>
      <c r="N55" s="160">
        <f t="shared" si="2"/>
        <v>0</v>
      </c>
      <c r="O55" s="160">
        <f t="shared" si="3"/>
        <v>0</v>
      </c>
      <c r="P55" s="4"/>
    </row>
    <row r="56" spans="2:16">
      <c r="B56" t="str">
        <f t="shared" si="0"/>
        <v/>
      </c>
      <c r="C56" s="155">
        <f>IF(D11="","-",+C55+1)</f>
        <v>2056</v>
      </c>
      <c r="D56" s="164">
        <f>IF(F55+SUM(E$17:E55)=D$10,F55,D$10-SUM(E$17:E55))</f>
        <v>532813.34071713942</v>
      </c>
      <c r="E56" s="162">
        <f t="shared" si="11"/>
        <v>218244.25465113699</v>
      </c>
      <c r="F56" s="161">
        <f t="shared" si="6"/>
        <v>314569.08606600243</v>
      </c>
      <c r="G56" s="163">
        <f t="shared" si="9"/>
        <v>268024.17043206299</v>
      </c>
      <c r="H56" s="145">
        <f t="shared" si="10"/>
        <v>268024.17043206299</v>
      </c>
      <c r="I56" s="158">
        <f t="shared" si="4"/>
        <v>0</v>
      </c>
      <c r="J56" s="158"/>
      <c r="K56" s="316"/>
      <c r="L56" s="160">
        <f t="shared" si="1"/>
        <v>0</v>
      </c>
      <c r="M56" s="316"/>
      <c r="N56" s="160">
        <f t="shared" si="2"/>
        <v>0</v>
      </c>
      <c r="O56" s="160">
        <f t="shared" si="3"/>
        <v>0</v>
      </c>
      <c r="P56" s="4"/>
    </row>
    <row r="57" spans="2:16">
      <c r="B57" t="str">
        <f t="shared" si="0"/>
        <v/>
      </c>
      <c r="C57" s="155">
        <f>IF(D11="","-",+C56+1)</f>
        <v>2057</v>
      </c>
      <c r="D57" s="164">
        <f>IF(F56+SUM(E$17:E56)=D$10,F56,D$10-SUM(E$17:E56))</f>
        <v>314569.08606600243</v>
      </c>
      <c r="E57" s="162">
        <f t="shared" si="11"/>
        <v>218244.25465113699</v>
      </c>
      <c r="F57" s="161">
        <f t="shared" si="6"/>
        <v>96324.831414865446</v>
      </c>
      <c r="G57" s="163">
        <f t="shared" si="9"/>
        <v>242382.42882208535</v>
      </c>
      <c r="H57" s="145">
        <f t="shared" si="10"/>
        <v>242382.42882208535</v>
      </c>
      <c r="I57" s="158">
        <f t="shared" si="4"/>
        <v>0</v>
      </c>
      <c r="J57" s="158"/>
      <c r="K57" s="316"/>
      <c r="L57" s="160">
        <f t="shared" si="1"/>
        <v>0</v>
      </c>
      <c r="M57" s="316"/>
      <c r="N57" s="160">
        <f t="shared" si="2"/>
        <v>0</v>
      </c>
      <c r="O57" s="160">
        <f t="shared" si="3"/>
        <v>0</v>
      </c>
      <c r="P57" s="4"/>
    </row>
    <row r="58" spans="2:16">
      <c r="B58" t="str">
        <f t="shared" si="0"/>
        <v/>
      </c>
      <c r="C58" s="155">
        <f>IF(D11="","-",+C57+1)</f>
        <v>2058</v>
      </c>
      <c r="D58" s="164">
        <f>IF(F57+SUM(E$17:E57)=D$10,F57,D$10-SUM(E$17:E57))</f>
        <v>96324.831414865446</v>
      </c>
      <c r="E58" s="162">
        <f t="shared" si="11"/>
        <v>96324.831414865446</v>
      </c>
      <c r="F58" s="161">
        <f t="shared" si="6"/>
        <v>0</v>
      </c>
      <c r="G58" s="163">
        <f t="shared" si="9"/>
        <v>101983.48309784521</v>
      </c>
      <c r="H58" s="145">
        <f t="shared" si="10"/>
        <v>101983.48309784521</v>
      </c>
      <c r="I58" s="158">
        <f t="shared" si="4"/>
        <v>0</v>
      </c>
      <c r="J58" s="158"/>
      <c r="K58" s="316"/>
      <c r="L58" s="160">
        <f t="shared" si="1"/>
        <v>0</v>
      </c>
      <c r="M58" s="316"/>
      <c r="N58" s="160">
        <f t="shared" si="2"/>
        <v>0</v>
      </c>
      <c r="O58" s="160">
        <f t="shared" si="3"/>
        <v>0</v>
      </c>
      <c r="P58" s="4"/>
    </row>
    <row r="59" spans="2:16">
      <c r="B59" t="str">
        <f t="shared" si="0"/>
        <v/>
      </c>
      <c r="C59" s="155">
        <f>IF(D11="","-",+C58+1)</f>
        <v>2059</v>
      </c>
      <c r="D59" s="164">
        <f>IF(F58+SUM(E$17:E58)=D$10,F58,D$10-SUM(E$17:E58))</f>
        <v>0</v>
      </c>
      <c r="E59" s="162">
        <f t="shared" si="11"/>
        <v>0</v>
      </c>
      <c r="F59" s="161">
        <f t="shared" si="6"/>
        <v>0</v>
      </c>
      <c r="G59" s="163">
        <f t="shared" si="9"/>
        <v>0</v>
      </c>
      <c r="H59" s="145">
        <f t="shared" si="10"/>
        <v>0</v>
      </c>
      <c r="I59" s="158">
        <f t="shared" si="4"/>
        <v>0</v>
      </c>
      <c r="J59" s="158"/>
      <c r="K59" s="316"/>
      <c r="L59" s="160">
        <f t="shared" si="1"/>
        <v>0</v>
      </c>
      <c r="M59" s="316"/>
      <c r="N59" s="160">
        <f t="shared" si="2"/>
        <v>0</v>
      </c>
      <c r="O59" s="160">
        <f t="shared" si="3"/>
        <v>0</v>
      </c>
      <c r="P59" s="4"/>
    </row>
    <row r="60" spans="2:16">
      <c r="B60" t="str">
        <f t="shared" si="0"/>
        <v/>
      </c>
      <c r="C60" s="155">
        <f>IF(D11="","-",+C59+1)</f>
        <v>2060</v>
      </c>
      <c r="D60" s="164">
        <f>IF(F59+SUM(E$17:E59)=D$10,F59,D$10-SUM(E$17:E59))</f>
        <v>0</v>
      </c>
      <c r="E60" s="162">
        <f t="shared" si="11"/>
        <v>0</v>
      </c>
      <c r="F60" s="161">
        <f t="shared" si="6"/>
        <v>0</v>
      </c>
      <c r="G60" s="163">
        <f t="shared" si="9"/>
        <v>0</v>
      </c>
      <c r="H60" s="145">
        <f t="shared" si="10"/>
        <v>0</v>
      </c>
      <c r="I60" s="158">
        <f t="shared" si="4"/>
        <v>0</v>
      </c>
      <c r="J60" s="158"/>
      <c r="K60" s="316"/>
      <c r="L60" s="160">
        <f t="shared" si="1"/>
        <v>0</v>
      </c>
      <c r="M60" s="316"/>
      <c r="N60" s="160">
        <f t="shared" si="2"/>
        <v>0</v>
      </c>
      <c r="O60" s="160">
        <f t="shared" si="3"/>
        <v>0</v>
      </c>
      <c r="P60" s="4"/>
    </row>
    <row r="61" spans="2:16">
      <c r="B61" t="str">
        <f t="shared" si="0"/>
        <v/>
      </c>
      <c r="C61" s="155">
        <f>IF(D11="","-",+C60+1)</f>
        <v>2061</v>
      </c>
      <c r="D61" s="164">
        <f>IF(F60+SUM(E$17:E60)=D$10,F60,D$10-SUM(E$17:E60))</f>
        <v>0</v>
      </c>
      <c r="E61" s="162">
        <f t="shared" si="11"/>
        <v>0</v>
      </c>
      <c r="F61" s="161">
        <f t="shared" si="6"/>
        <v>0</v>
      </c>
      <c r="G61" s="165">
        <f t="shared" si="9"/>
        <v>0</v>
      </c>
      <c r="H61" s="145">
        <f t="shared" si="10"/>
        <v>0</v>
      </c>
      <c r="I61" s="158">
        <f t="shared" si="4"/>
        <v>0</v>
      </c>
      <c r="J61" s="158"/>
      <c r="K61" s="316"/>
      <c r="L61" s="160">
        <f t="shared" si="1"/>
        <v>0</v>
      </c>
      <c r="M61" s="316"/>
      <c r="N61" s="160">
        <f t="shared" si="2"/>
        <v>0</v>
      </c>
      <c r="O61" s="160">
        <f t="shared" si="3"/>
        <v>0</v>
      </c>
      <c r="P61" s="4"/>
    </row>
    <row r="62" spans="2:16">
      <c r="B62" t="str">
        <f t="shared" si="0"/>
        <v/>
      </c>
      <c r="C62" s="155">
        <f>IF(D11="","-",+C61+1)</f>
        <v>2062</v>
      </c>
      <c r="D62" s="164">
        <f>IF(F61+SUM(E$17:E61)=D$10,F61,D$10-SUM(E$17:E61))</f>
        <v>0</v>
      </c>
      <c r="E62" s="162">
        <f t="shared" si="11"/>
        <v>0</v>
      </c>
      <c r="F62" s="161">
        <f t="shared" si="6"/>
        <v>0</v>
      </c>
      <c r="G62" s="165">
        <f t="shared" si="9"/>
        <v>0</v>
      </c>
      <c r="H62" s="145">
        <f t="shared" si="10"/>
        <v>0</v>
      </c>
      <c r="I62" s="158">
        <f t="shared" si="4"/>
        <v>0</v>
      </c>
      <c r="J62" s="158"/>
      <c r="K62" s="316"/>
      <c r="L62" s="160">
        <f t="shared" si="1"/>
        <v>0</v>
      </c>
      <c r="M62" s="316"/>
      <c r="N62" s="160">
        <f t="shared" si="2"/>
        <v>0</v>
      </c>
      <c r="O62" s="160">
        <f t="shared" si="3"/>
        <v>0</v>
      </c>
      <c r="P62" s="4"/>
    </row>
    <row r="63" spans="2:16">
      <c r="B63" t="str">
        <f t="shared" si="0"/>
        <v/>
      </c>
      <c r="C63" s="155">
        <f>IF(D11="","-",+C62+1)</f>
        <v>2063</v>
      </c>
      <c r="D63" s="164">
        <f>IF(F62+SUM(E$17:E62)=D$10,F62,D$10-SUM(E$17:E62))</f>
        <v>0</v>
      </c>
      <c r="E63" s="162">
        <f t="shared" si="11"/>
        <v>0</v>
      </c>
      <c r="F63" s="161">
        <f t="shared" si="6"/>
        <v>0</v>
      </c>
      <c r="G63" s="165">
        <f t="shared" si="9"/>
        <v>0</v>
      </c>
      <c r="H63" s="145">
        <f t="shared" si="10"/>
        <v>0</v>
      </c>
      <c r="I63" s="158">
        <f t="shared" si="4"/>
        <v>0</v>
      </c>
      <c r="J63" s="158"/>
      <c r="K63" s="316"/>
      <c r="L63" s="160">
        <f t="shared" si="1"/>
        <v>0</v>
      </c>
      <c r="M63" s="316"/>
      <c r="N63" s="160">
        <f t="shared" si="2"/>
        <v>0</v>
      </c>
      <c r="O63" s="160">
        <f t="shared" si="3"/>
        <v>0</v>
      </c>
      <c r="P63" s="4"/>
    </row>
    <row r="64" spans="2:16">
      <c r="B64" t="str">
        <f t="shared" si="0"/>
        <v/>
      </c>
      <c r="C64" s="155">
        <f>IF(D11="","-",+C63+1)</f>
        <v>2064</v>
      </c>
      <c r="D64" s="164">
        <f>IF(F63+SUM(E$17:E63)=D$10,F63,D$10-SUM(E$17:E63))</f>
        <v>0</v>
      </c>
      <c r="E64" s="162">
        <f t="shared" si="11"/>
        <v>0</v>
      </c>
      <c r="F64" s="161">
        <f t="shared" si="6"/>
        <v>0</v>
      </c>
      <c r="G64" s="165">
        <f t="shared" si="9"/>
        <v>0</v>
      </c>
      <c r="H64" s="145">
        <f t="shared" si="10"/>
        <v>0</v>
      </c>
      <c r="I64" s="158">
        <f t="shared" si="4"/>
        <v>0</v>
      </c>
      <c r="J64" s="158"/>
      <c r="K64" s="316"/>
      <c r="L64" s="160">
        <f t="shared" si="1"/>
        <v>0</v>
      </c>
      <c r="M64" s="316"/>
      <c r="N64" s="160">
        <f t="shared" si="2"/>
        <v>0</v>
      </c>
      <c r="O64" s="160">
        <f t="shared" si="3"/>
        <v>0</v>
      </c>
      <c r="P64" s="4"/>
    </row>
    <row r="65" spans="2:16">
      <c r="B65" t="str">
        <f t="shared" si="0"/>
        <v/>
      </c>
      <c r="C65" s="155">
        <f>IF(D11="","-",+C64+1)</f>
        <v>2065</v>
      </c>
      <c r="D65" s="164">
        <f>IF(F64+SUM(E$17:E64)=D$10,F64,D$10-SUM(E$17:E64))</f>
        <v>0</v>
      </c>
      <c r="E65" s="162">
        <f t="shared" si="11"/>
        <v>0</v>
      </c>
      <c r="F65" s="161">
        <f t="shared" si="6"/>
        <v>0</v>
      </c>
      <c r="G65" s="165">
        <f t="shared" si="9"/>
        <v>0</v>
      </c>
      <c r="H65" s="145">
        <f t="shared" si="10"/>
        <v>0</v>
      </c>
      <c r="I65" s="158">
        <f t="shared" si="4"/>
        <v>0</v>
      </c>
      <c r="J65" s="158"/>
      <c r="K65" s="316"/>
      <c r="L65" s="160">
        <f t="shared" si="1"/>
        <v>0</v>
      </c>
      <c r="M65" s="316"/>
      <c r="N65" s="160">
        <f t="shared" si="2"/>
        <v>0</v>
      </c>
      <c r="O65" s="160">
        <f t="shared" si="3"/>
        <v>0</v>
      </c>
      <c r="P65" s="4"/>
    </row>
    <row r="66" spans="2:16">
      <c r="B66" t="str">
        <f t="shared" si="0"/>
        <v/>
      </c>
      <c r="C66" s="155">
        <f>IF(D11="","-",+C65+1)</f>
        <v>2066</v>
      </c>
      <c r="D66" s="164">
        <f>IF(F65+SUM(E$17:E65)=D$10,F65,D$10-SUM(E$17:E65))</f>
        <v>0</v>
      </c>
      <c r="E66" s="162">
        <f t="shared" si="11"/>
        <v>0</v>
      </c>
      <c r="F66" s="161">
        <f t="shared" si="6"/>
        <v>0</v>
      </c>
      <c r="G66" s="165">
        <f t="shared" si="9"/>
        <v>0</v>
      </c>
      <c r="H66" s="145">
        <f t="shared" si="10"/>
        <v>0</v>
      </c>
      <c r="I66" s="158">
        <f t="shared" si="4"/>
        <v>0</v>
      </c>
      <c r="J66" s="158"/>
      <c r="K66" s="316"/>
      <c r="L66" s="160">
        <f t="shared" si="1"/>
        <v>0</v>
      </c>
      <c r="M66" s="316"/>
      <c r="N66" s="160">
        <f t="shared" si="2"/>
        <v>0</v>
      </c>
      <c r="O66" s="160">
        <f t="shared" si="3"/>
        <v>0</v>
      </c>
      <c r="P66" s="4"/>
    </row>
    <row r="67" spans="2:16">
      <c r="B67" t="str">
        <f t="shared" si="0"/>
        <v/>
      </c>
      <c r="C67" s="155">
        <f>IF(D11="","-",+C66+1)</f>
        <v>2067</v>
      </c>
      <c r="D67" s="164">
        <f>IF(F66+SUM(E$17:E66)=D$10,F66,D$10-SUM(E$17:E66))</f>
        <v>0</v>
      </c>
      <c r="E67" s="162">
        <f t="shared" si="11"/>
        <v>0</v>
      </c>
      <c r="F67" s="161">
        <f t="shared" si="6"/>
        <v>0</v>
      </c>
      <c r="G67" s="165">
        <f t="shared" si="9"/>
        <v>0</v>
      </c>
      <c r="H67" s="145">
        <f t="shared" si="10"/>
        <v>0</v>
      </c>
      <c r="I67" s="158">
        <f t="shared" si="4"/>
        <v>0</v>
      </c>
      <c r="J67" s="158"/>
      <c r="K67" s="316"/>
      <c r="L67" s="160">
        <f t="shared" si="1"/>
        <v>0</v>
      </c>
      <c r="M67" s="316"/>
      <c r="N67" s="160">
        <f t="shared" si="2"/>
        <v>0</v>
      </c>
      <c r="O67" s="160">
        <f t="shared" si="3"/>
        <v>0</v>
      </c>
      <c r="P67" s="4"/>
    </row>
    <row r="68" spans="2:16">
      <c r="B68" t="str">
        <f t="shared" si="0"/>
        <v/>
      </c>
      <c r="C68" s="155">
        <f>IF(D11="","-",+C67+1)</f>
        <v>2068</v>
      </c>
      <c r="D68" s="164">
        <f>IF(F67+SUM(E$17:E67)=D$10,F67,D$10-SUM(E$17:E67))</f>
        <v>0</v>
      </c>
      <c r="E68" s="162">
        <f t="shared" si="11"/>
        <v>0</v>
      </c>
      <c r="F68" s="161">
        <f t="shared" si="6"/>
        <v>0</v>
      </c>
      <c r="G68" s="165">
        <f t="shared" si="9"/>
        <v>0</v>
      </c>
      <c r="H68" s="145">
        <f t="shared" si="10"/>
        <v>0</v>
      </c>
      <c r="I68" s="158">
        <f t="shared" si="4"/>
        <v>0</v>
      </c>
      <c r="J68" s="158"/>
      <c r="K68" s="316"/>
      <c r="L68" s="160">
        <f t="shared" si="1"/>
        <v>0</v>
      </c>
      <c r="M68" s="316"/>
      <c r="N68" s="160">
        <f t="shared" si="2"/>
        <v>0</v>
      </c>
      <c r="O68" s="160">
        <f t="shared" si="3"/>
        <v>0</v>
      </c>
      <c r="P68" s="4"/>
    </row>
    <row r="69" spans="2:16">
      <c r="B69" t="str">
        <f t="shared" si="0"/>
        <v/>
      </c>
      <c r="C69" s="155">
        <f>IF(D11="","-",+C68+1)</f>
        <v>2069</v>
      </c>
      <c r="D69" s="164">
        <f>IF(F68+SUM(E$17:E68)=D$10,F68,D$10-SUM(E$17:E68))</f>
        <v>0</v>
      </c>
      <c r="E69" s="162">
        <f t="shared" si="11"/>
        <v>0</v>
      </c>
      <c r="F69" s="161">
        <f t="shared" si="6"/>
        <v>0</v>
      </c>
      <c r="G69" s="165">
        <f t="shared" si="9"/>
        <v>0</v>
      </c>
      <c r="H69" s="145">
        <f t="shared" si="10"/>
        <v>0</v>
      </c>
      <c r="I69" s="158">
        <f t="shared" si="4"/>
        <v>0</v>
      </c>
      <c r="J69" s="158"/>
      <c r="K69" s="316"/>
      <c r="L69" s="160">
        <f t="shared" si="1"/>
        <v>0</v>
      </c>
      <c r="M69" s="316"/>
      <c r="N69" s="160">
        <f t="shared" si="2"/>
        <v>0</v>
      </c>
      <c r="O69" s="160">
        <f t="shared" si="3"/>
        <v>0</v>
      </c>
      <c r="P69" s="4"/>
    </row>
    <row r="70" spans="2:16">
      <c r="B70" t="str">
        <f t="shared" si="0"/>
        <v/>
      </c>
      <c r="C70" s="155">
        <f>IF(D11="","-",+C69+1)</f>
        <v>2070</v>
      </c>
      <c r="D70" s="164">
        <f>IF(F69+SUM(E$17:E69)=D$10,F69,D$10-SUM(E$17:E69))</f>
        <v>0</v>
      </c>
      <c r="E70" s="162">
        <f t="shared" si="11"/>
        <v>0</v>
      </c>
      <c r="F70" s="161">
        <f t="shared" si="6"/>
        <v>0</v>
      </c>
      <c r="G70" s="165">
        <f t="shared" si="9"/>
        <v>0</v>
      </c>
      <c r="H70" s="145">
        <f t="shared" si="10"/>
        <v>0</v>
      </c>
      <c r="I70" s="158">
        <f t="shared" si="4"/>
        <v>0</v>
      </c>
      <c r="J70" s="158"/>
      <c r="K70" s="316"/>
      <c r="L70" s="160">
        <f t="shared" si="1"/>
        <v>0</v>
      </c>
      <c r="M70" s="316"/>
      <c r="N70" s="160">
        <f t="shared" si="2"/>
        <v>0</v>
      </c>
      <c r="O70" s="160">
        <f t="shared" si="3"/>
        <v>0</v>
      </c>
      <c r="P70" s="4"/>
    </row>
    <row r="71" spans="2:16">
      <c r="B71" t="str">
        <f t="shared" si="0"/>
        <v/>
      </c>
      <c r="C71" s="155">
        <f>IF(D11="","-",+C70+1)</f>
        <v>2071</v>
      </c>
      <c r="D71" s="164">
        <f>IF(F70+SUM(E$17:E70)=D$10,F70,D$10-SUM(E$17:E70))</f>
        <v>0</v>
      </c>
      <c r="E71" s="162">
        <f t="shared" si="11"/>
        <v>0</v>
      </c>
      <c r="F71" s="161">
        <f t="shared" si="6"/>
        <v>0</v>
      </c>
      <c r="G71" s="165">
        <f t="shared" si="9"/>
        <v>0</v>
      </c>
      <c r="H71" s="145">
        <f t="shared" si="10"/>
        <v>0</v>
      </c>
      <c r="I71" s="158">
        <f t="shared" si="4"/>
        <v>0</v>
      </c>
      <c r="J71" s="158"/>
      <c r="K71" s="316"/>
      <c r="L71" s="160">
        <f t="shared" si="1"/>
        <v>0</v>
      </c>
      <c r="M71" s="316"/>
      <c r="N71" s="160">
        <f t="shared" si="2"/>
        <v>0</v>
      </c>
      <c r="O71" s="160">
        <f t="shared" si="3"/>
        <v>0</v>
      </c>
      <c r="P71" s="4"/>
    </row>
    <row r="72" spans="2:16">
      <c r="C72" s="155">
        <f>IF(D12="","-",+C71+1)</f>
        <v>2072</v>
      </c>
      <c r="D72" s="164">
        <f>IF(F71+SUM(E$17:E71)=D$10,F71,D$10-SUM(E$17:E71))</f>
        <v>0</v>
      </c>
      <c r="E72" s="162">
        <f>IF(+I$14&lt;F71,I$14,D72)</f>
        <v>0</v>
      </c>
      <c r="F72" s="161">
        <f>+D72-E72</f>
        <v>0</v>
      </c>
      <c r="G72" s="165">
        <f>(D72+F72)/2*I$12+E72</f>
        <v>0</v>
      </c>
      <c r="H72" s="145">
        <f>+(D72+F72)/2*I$13+E72</f>
        <v>0</v>
      </c>
      <c r="I72" s="158">
        <f>H72-G72</f>
        <v>0</v>
      </c>
      <c r="J72" s="158"/>
      <c r="K72" s="316"/>
      <c r="L72" s="160">
        <f>IF(K72&lt;&gt;0,+G72-K72,0)</f>
        <v>0</v>
      </c>
      <c r="M72" s="316"/>
      <c r="N72" s="160">
        <f>IF(M72&lt;&gt;0,+H72-M72,0)</f>
        <v>0</v>
      </c>
      <c r="O72" s="160">
        <f>+N72-L72</f>
        <v>0</v>
      </c>
      <c r="P72" s="4"/>
    </row>
    <row r="73" spans="2:16" ht="13.5" thickBot="1">
      <c r="B73" t="str">
        <f>IF(D73=F71,"","IU")</f>
        <v/>
      </c>
      <c r="C73" s="166">
        <f>IF(D13="","-",+C72+1)</f>
        <v>2073</v>
      </c>
      <c r="D73" s="164">
        <f>IF(F72+SUM(E$17:E72)=D$10,F72,D$10-SUM(E$17:E72))</f>
        <v>0</v>
      </c>
      <c r="E73" s="168">
        <f>IF(+I$14&lt;F72,I$14,D73)</f>
        <v>0</v>
      </c>
      <c r="F73" s="167">
        <f>+D73-E73</f>
        <v>0</v>
      </c>
      <c r="G73" s="169">
        <f>(D73+F73)/2*I$12+E73</f>
        <v>0</v>
      </c>
      <c r="H73" s="127">
        <f>+(D73+F73)/2*I$13+E73</f>
        <v>0</v>
      </c>
      <c r="I73" s="170">
        <f>H73-G73</f>
        <v>0</v>
      </c>
      <c r="J73" s="158"/>
      <c r="K73" s="317"/>
      <c r="L73" s="171">
        <f>IF(K73&lt;&gt;0,+G73-K73,0)</f>
        <v>0</v>
      </c>
      <c r="M73" s="317"/>
      <c r="N73" s="171">
        <f>IF(M73&lt;&gt;0,+H73-M73,0)</f>
        <v>0</v>
      </c>
      <c r="O73" s="171">
        <f>+N73-L73</f>
        <v>0</v>
      </c>
      <c r="P73" s="4"/>
    </row>
    <row r="74" spans="2:16">
      <c r="C74" s="156" t="s">
        <v>75</v>
      </c>
      <c r="D74" s="112"/>
      <c r="E74" s="112">
        <f>SUM(E17:E73)</f>
        <v>8898999.9999999981</v>
      </c>
      <c r="F74" s="112"/>
      <c r="G74" s="112">
        <f>SUM(G17:G73)</f>
        <v>30355914.395417113</v>
      </c>
      <c r="H74" s="112">
        <f>SUM(H17:H73)</f>
        <v>30355914.395417113</v>
      </c>
      <c r="I74" s="112">
        <f>SUM(I17:I73)</f>
        <v>0</v>
      </c>
      <c r="J74" s="112"/>
      <c r="K74" s="112"/>
      <c r="L74" s="112"/>
      <c r="M74" s="112"/>
      <c r="N74" s="112"/>
      <c r="O74" s="4"/>
      <c r="P74" s="4"/>
    </row>
    <row r="75" spans="2:16">
      <c r="D75" s="2"/>
      <c r="E75" s="1"/>
      <c r="F75" s="1"/>
      <c r="G75" s="1"/>
      <c r="H75" s="3"/>
      <c r="I75" s="3"/>
      <c r="J75" s="112"/>
      <c r="K75" s="3"/>
      <c r="L75" s="3"/>
      <c r="M75" s="3"/>
      <c r="N75" s="3"/>
      <c r="O75" s="1"/>
      <c r="P75" s="1"/>
    </row>
    <row r="76" spans="2:16">
      <c r="C76" s="172" t="s">
        <v>95</v>
      </c>
      <c r="D76" s="2"/>
      <c r="E76" s="1"/>
      <c r="F76" s="1"/>
      <c r="G76" s="1"/>
      <c r="H76" s="3"/>
      <c r="I76" s="3"/>
      <c r="J76" s="112"/>
      <c r="K76" s="3"/>
      <c r="L76" s="3"/>
      <c r="M76" s="3"/>
      <c r="N76" s="3"/>
      <c r="O76" s="1"/>
      <c r="P76" s="1"/>
    </row>
    <row r="77" spans="2:16">
      <c r="C77" s="124" t="s">
        <v>76</v>
      </c>
      <c r="D77" s="2"/>
      <c r="E77" s="1"/>
      <c r="F77" s="1"/>
      <c r="G77" s="1"/>
      <c r="H77" s="3"/>
      <c r="I77" s="3"/>
      <c r="J77" s="112"/>
      <c r="K77" s="3"/>
      <c r="L77" s="3"/>
      <c r="M77" s="3"/>
      <c r="N77" s="3"/>
      <c r="O77" s="4"/>
      <c r="P77" s="4"/>
    </row>
    <row r="78" spans="2:16">
      <c r="C78" s="124" t="s">
        <v>77</v>
      </c>
      <c r="D78" s="156"/>
      <c r="E78" s="156"/>
      <c r="F78" s="156"/>
      <c r="G78" s="112"/>
      <c r="H78" s="112"/>
      <c r="I78" s="173"/>
      <c r="J78" s="173"/>
      <c r="K78" s="173"/>
      <c r="L78" s="173"/>
      <c r="M78" s="173"/>
      <c r="N78" s="173"/>
      <c r="O78" s="4"/>
      <c r="P78" s="4"/>
    </row>
    <row r="79" spans="2:16">
      <c r="C79" s="124"/>
      <c r="D79" s="156"/>
      <c r="E79" s="156"/>
      <c r="F79" s="156"/>
      <c r="G79" s="112"/>
      <c r="H79" s="112"/>
      <c r="I79" s="173"/>
      <c r="J79" s="173"/>
      <c r="K79" s="173"/>
      <c r="L79" s="173"/>
      <c r="M79" s="173"/>
      <c r="N79" s="173"/>
      <c r="O79" s="4"/>
      <c r="P79" s="1"/>
    </row>
    <row r="80" spans="2:16">
      <c r="B80" s="1"/>
      <c r="C80" s="23"/>
      <c r="D80" s="2"/>
      <c r="E80" s="1"/>
      <c r="F80" s="108"/>
      <c r="G80" s="1"/>
      <c r="H80" s="3"/>
      <c r="I80" s="1"/>
      <c r="J80" s="4"/>
      <c r="K80" s="1"/>
      <c r="L80" s="1"/>
      <c r="M80" s="1"/>
      <c r="N80" s="1"/>
      <c r="O80" s="1"/>
      <c r="P80" s="1"/>
    </row>
    <row r="81" spans="1:16" ht="18">
      <c r="B81" s="1"/>
      <c r="C81" s="239"/>
      <c r="D81" s="2"/>
      <c r="E81" s="1"/>
      <c r="F81" s="108"/>
      <c r="G81" s="1"/>
      <c r="H81" s="3"/>
      <c r="I81" s="1"/>
      <c r="J81" s="4"/>
      <c r="K81" s="1"/>
      <c r="L81" s="1"/>
      <c r="M81" s="1"/>
      <c r="N81" s="1"/>
      <c r="P81" s="241" t="s">
        <v>128</v>
      </c>
    </row>
    <row r="82" spans="1:16">
      <c r="B82" s="1"/>
      <c r="C82" s="23"/>
      <c r="D82" s="2"/>
      <c r="E82" s="1"/>
      <c r="F82" s="108"/>
      <c r="G82" s="1"/>
      <c r="H82" s="3"/>
      <c r="I82" s="1"/>
      <c r="J82" s="4"/>
      <c r="K82" s="1"/>
      <c r="L82" s="1"/>
      <c r="M82" s="1"/>
      <c r="N82" s="1"/>
      <c r="O82" s="1"/>
      <c r="P82" s="1"/>
    </row>
    <row r="83" spans="1:16">
      <c r="B83" s="1"/>
      <c r="C83" s="23"/>
      <c r="D83" s="2"/>
      <c r="E83" s="1"/>
      <c r="F83" s="108"/>
      <c r="G83" s="1"/>
      <c r="H83" s="3"/>
      <c r="I83" s="1"/>
      <c r="J83" s="4"/>
      <c r="K83" s="1"/>
      <c r="L83" s="1"/>
      <c r="M83" s="1"/>
      <c r="N83" s="1"/>
      <c r="O83" s="1"/>
      <c r="P83" s="1"/>
    </row>
    <row r="84" spans="1:16" ht="20.25">
      <c r="A84" s="240" t="s">
        <v>190</v>
      </c>
      <c r="B84" s="1"/>
      <c r="C84" s="23"/>
      <c r="D84" s="2"/>
      <c r="E84" s="1"/>
      <c r="F84" s="100"/>
      <c r="G84" s="100"/>
      <c r="H84" s="1"/>
      <c r="I84" s="3"/>
      <c r="K84" s="7"/>
      <c r="L84" s="110"/>
      <c r="M84" s="110"/>
      <c r="P84" s="110" t="str">
        <f ca="1">P1</f>
        <v>OKT Project 16 of 19</v>
      </c>
    </row>
    <row r="85" spans="1:16" ht="18">
      <c r="B85" s="1"/>
      <c r="C85" s="1"/>
      <c r="D85" s="2"/>
      <c r="E85" s="1"/>
      <c r="F85" s="1"/>
      <c r="G85" s="1"/>
      <c r="H85" s="1"/>
      <c r="I85" s="3"/>
      <c r="J85" s="1"/>
      <c r="K85" s="4"/>
      <c r="L85" s="1"/>
      <c r="M85" s="1"/>
      <c r="P85" s="247" t="s">
        <v>132</v>
      </c>
    </row>
    <row r="86" spans="1:16" ht="18.75" thickBot="1">
      <c r="B86" s="5" t="s">
        <v>42</v>
      </c>
      <c r="C86" s="197" t="s">
        <v>81</v>
      </c>
      <c r="D86" s="2"/>
      <c r="E86" s="1"/>
      <c r="F86" s="1"/>
      <c r="G86" s="1"/>
      <c r="H86" s="1"/>
      <c r="I86" s="3"/>
      <c r="J86" s="3"/>
      <c r="K86" s="112"/>
      <c r="L86" s="3"/>
      <c r="M86" s="3"/>
      <c r="N86" s="3"/>
      <c r="O86" s="112"/>
      <c r="P86" s="1"/>
    </row>
    <row r="87" spans="1:16" ht="15.75" thickBot="1">
      <c r="C87" s="68"/>
      <c r="D87" s="2"/>
      <c r="E87" s="1"/>
      <c r="F87" s="1"/>
      <c r="G87" s="1"/>
      <c r="H87" s="1"/>
      <c r="I87" s="3"/>
      <c r="J87" s="3"/>
      <c r="K87" s="112"/>
      <c r="L87" s="248">
        <f>+J93</f>
        <v>2018</v>
      </c>
      <c r="M87" s="249" t="s">
        <v>9</v>
      </c>
      <c r="N87" s="250" t="s">
        <v>134</v>
      </c>
      <c r="O87" s="251" t="s">
        <v>11</v>
      </c>
      <c r="P87" s="1"/>
    </row>
    <row r="88" spans="1:16" ht="15">
      <c r="C88" s="233" t="s">
        <v>44</v>
      </c>
      <c r="D88" s="2"/>
      <c r="E88" s="1"/>
      <c r="F88" s="1"/>
      <c r="G88" s="1"/>
      <c r="H88" s="114"/>
      <c r="I88" s="1" t="s">
        <v>45</v>
      </c>
      <c r="J88" s="1"/>
      <c r="K88" s="252"/>
      <c r="L88" s="253" t="s">
        <v>253</v>
      </c>
      <c r="M88" s="198">
        <f>IF(J93&lt;D11,0,VLOOKUP(J93,C17:O73,9))</f>
        <v>1242410.3516112138</v>
      </c>
      <c r="N88" s="198">
        <f>IF(J93&lt;D11,0,VLOOKUP(J93,C17:O73,11))</f>
        <v>1242410.3516112138</v>
      </c>
      <c r="O88" s="199">
        <f>+N88-M88</f>
        <v>0</v>
      </c>
      <c r="P88" s="1"/>
    </row>
    <row r="89" spans="1:16" ht="15.75">
      <c r="C89" s="8"/>
      <c r="D89" s="2"/>
      <c r="E89" s="1"/>
      <c r="F89" s="1"/>
      <c r="G89" s="1"/>
      <c r="H89" s="1"/>
      <c r="I89" s="119"/>
      <c r="J89" s="119"/>
      <c r="K89" s="254"/>
      <c r="L89" s="255" t="s">
        <v>254</v>
      </c>
      <c r="M89" s="200">
        <f>IF(J93&lt;D11,0,VLOOKUP(J93,C100:P155,6))</f>
        <v>1249930.642330141</v>
      </c>
      <c r="N89" s="200">
        <f>IF(J93&lt;D11,0,VLOOKUP(J93,C100:P155,7))</f>
        <v>1249930.642330141</v>
      </c>
      <c r="O89" s="201">
        <f>+N89-M89</f>
        <v>0</v>
      </c>
      <c r="P89" s="1"/>
    </row>
    <row r="90" spans="1:16" ht="13.5" thickBot="1">
      <c r="C90" s="124" t="s">
        <v>82</v>
      </c>
      <c r="D90" s="243" t="str">
        <f>+D7</f>
        <v>Carnegie South-Southwestern 123 kv line rebuild</v>
      </c>
      <c r="E90" s="1"/>
      <c r="F90" s="1"/>
      <c r="G90" s="1"/>
      <c r="H90" s="1"/>
      <c r="I90" s="3"/>
      <c r="J90" s="3"/>
      <c r="K90" s="256"/>
      <c r="L90" s="257" t="s">
        <v>135</v>
      </c>
      <c r="M90" s="203">
        <f>+M89-M88</f>
        <v>7520.290718927281</v>
      </c>
      <c r="N90" s="203">
        <f>+N89-N88</f>
        <v>7520.290718927281</v>
      </c>
      <c r="O90" s="204">
        <f>+O89-O88</f>
        <v>0</v>
      </c>
      <c r="P90" s="1"/>
    </row>
    <row r="91" spans="1:16" ht="13.5" thickBot="1">
      <c r="C91" s="172"/>
      <c r="D91" s="174" t="str">
        <f>IF(D8="","",D8)</f>
        <v/>
      </c>
      <c r="E91" s="108"/>
      <c r="F91" s="108"/>
      <c r="G91" s="108"/>
      <c r="H91" s="129"/>
      <c r="I91" s="3"/>
      <c r="J91" s="3"/>
      <c r="K91" s="112"/>
      <c r="L91" s="3"/>
      <c r="M91" s="3"/>
      <c r="N91" s="3"/>
      <c r="O91" s="112"/>
      <c r="P91" s="1"/>
    </row>
    <row r="92" spans="1:16" ht="13.5" thickBot="1">
      <c r="A92" s="104"/>
      <c r="C92" s="205" t="s">
        <v>83</v>
      </c>
      <c r="D92" s="223" t="str">
        <f>+D9</f>
        <v>TP 2014207</v>
      </c>
      <c r="E92" s="206"/>
      <c r="F92" s="206"/>
      <c r="G92" s="206"/>
      <c r="H92" s="206"/>
      <c r="I92" s="206"/>
      <c r="J92" s="206"/>
      <c r="K92" s="207"/>
      <c r="P92" s="134"/>
    </row>
    <row r="93" spans="1:16">
      <c r="C93" s="139" t="s">
        <v>49</v>
      </c>
      <c r="D93" s="136">
        <v>9557910</v>
      </c>
      <c r="E93" s="23" t="s">
        <v>84</v>
      </c>
      <c r="H93" s="137"/>
      <c r="I93" s="137"/>
      <c r="J93" s="138">
        <f>+'OKT.WS.G.BPU.ATRR.True-up'!M16</f>
        <v>2018</v>
      </c>
      <c r="K93" s="133"/>
      <c r="L93" s="112" t="s">
        <v>85</v>
      </c>
      <c r="P93" s="4"/>
    </row>
    <row r="94" spans="1:16">
      <c r="C94" s="139" t="s">
        <v>52</v>
      </c>
      <c r="D94" s="140">
        <f>IF(D11=I10,"",D11)</f>
        <v>2017</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row>
    <row r="95" spans="1:16">
      <c r="C95" s="139" t="s">
        <v>54</v>
      </c>
      <c r="D95" s="136">
        <f>IF(D11=I10,"",D12)</f>
        <v>7</v>
      </c>
      <c r="E95" s="139" t="s">
        <v>55</v>
      </c>
      <c r="F95" s="137"/>
      <c r="G95" s="137"/>
      <c r="J95" s="143">
        <f>'OKT.WS.G.BPU.ATRR.True-up'!$F$81</f>
        <v>0.10556244909908279</v>
      </c>
      <c r="K95" s="144"/>
      <c r="L95" t="s">
        <v>86</v>
      </c>
      <c r="P95" s="4"/>
    </row>
    <row r="96" spans="1:16">
      <c r="C96" s="139" t="s">
        <v>57</v>
      </c>
      <c r="D96" s="141">
        <f>'OKT.WS.G.BPU.ATRR.True-up'!F$93</f>
        <v>36</v>
      </c>
      <c r="E96" s="139" t="s">
        <v>58</v>
      </c>
      <c r="F96" s="137"/>
      <c r="G96" s="137"/>
      <c r="J96" s="143">
        <f>IF(H88="",J95,'OKT.WS.G.BPU.ATRR.True-up'!$F$80)</f>
        <v>0.10556244909908279</v>
      </c>
      <c r="K96" s="60"/>
      <c r="L96" s="112" t="s">
        <v>59</v>
      </c>
      <c r="M96" s="60"/>
      <c r="N96" s="60"/>
      <c r="O96" s="60"/>
      <c r="P96" s="4"/>
    </row>
    <row r="97" spans="1:16" ht="13.5" thickBot="1">
      <c r="C97" s="139" t="s">
        <v>60</v>
      </c>
      <c r="D97" s="140" t="str">
        <f>+D14</f>
        <v>No</v>
      </c>
      <c r="E97" s="202" t="s">
        <v>62</v>
      </c>
      <c r="F97" s="208"/>
      <c r="G97" s="208"/>
      <c r="H97" s="209"/>
      <c r="I97" s="209"/>
      <c r="J97" s="127">
        <f>IF(D93=0,0,D93/D96)</f>
        <v>265497.5</v>
      </c>
      <c r="K97" s="112"/>
      <c r="L97" s="112"/>
      <c r="M97" s="112"/>
      <c r="N97" s="112"/>
      <c r="O97" s="112"/>
      <c r="P97" s="4"/>
    </row>
    <row r="98" spans="1:16"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row>
    <row r="99" spans="1:16" ht="13.5" thickBot="1">
      <c r="C99" s="150" t="s">
        <v>68</v>
      </c>
      <c r="D99" s="212" t="s">
        <v>69</v>
      </c>
      <c r="E99" s="150" t="s">
        <v>70</v>
      </c>
      <c r="F99" s="150" t="s">
        <v>69</v>
      </c>
      <c r="G99" s="150" t="s">
        <v>69</v>
      </c>
      <c r="H99" s="321" t="s">
        <v>71</v>
      </c>
      <c r="I99" s="151" t="s">
        <v>72</v>
      </c>
      <c r="J99" s="152" t="s">
        <v>93</v>
      </c>
      <c r="K99" s="153"/>
      <c r="L99" s="154" t="s">
        <v>74</v>
      </c>
      <c r="M99" s="154" t="s">
        <v>74</v>
      </c>
      <c r="N99" s="154" t="s">
        <v>94</v>
      </c>
      <c r="O99" s="154" t="s">
        <v>94</v>
      </c>
      <c r="P99" s="154" t="s">
        <v>94</v>
      </c>
    </row>
    <row r="100" spans="1:16">
      <c r="B100" t="str">
        <f t="shared" ref="B100:B155" si="12">IF(D100=F99,"","IU")</f>
        <v>IU</v>
      </c>
      <c r="C100" s="155">
        <f>IF(D94= "","-",D94)</f>
        <v>2017</v>
      </c>
      <c r="D100" s="373">
        <v>0</v>
      </c>
      <c r="E100" s="375">
        <v>99561.5625</v>
      </c>
      <c r="F100" s="377">
        <v>9458348.4375</v>
      </c>
      <c r="G100" s="377">
        <v>4729174.21875</v>
      </c>
      <c r="H100" s="375">
        <v>654463.30646394705</v>
      </c>
      <c r="I100" s="376">
        <v>654463.30646394705</v>
      </c>
      <c r="J100" s="160">
        <f t="shared" ref="J100:J131" si="13">+I100-H100</f>
        <v>0</v>
      </c>
      <c r="K100" s="160"/>
      <c r="L100" s="344">
        <f>+H100</f>
        <v>654463.30646394705</v>
      </c>
      <c r="M100" s="160">
        <f t="shared" ref="M100:M131" si="14">IF(L100&lt;&gt;0,+H100-L100,0)</f>
        <v>0</v>
      </c>
      <c r="N100" s="344">
        <f>+I100</f>
        <v>654463.30646394705</v>
      </c>
      <c r="O100" s="367">
        <f t="shared" ref="O100:O131" si="15">IF(N100&lt;&gt;0,+I100-N100,0)</f>
        <v>0</v>
      </c>
      <c r="P100" s="160">
        <f t="shared" ref="P100:P131" si="16">+O100-M100</f>
        <v>0</v>
      </c>
    </row>
    <row r="101" spans="1:16">
      <c r="B101" t="str">
        <f t="shared" si="12"/>
        <v/>
      </c>
      <c r="C101" s="155">
        <f>IF(D94="","-",+C100+1)</f>
        <v>2018</v>
      </c>
      <c r="D101" s="156">
        <f>IF(F100+SUM(E$100:E100)=D$93,F100,D$93-SUM(E$100:E100))</f>
        <v>9458348.4375</v>
      </c>
      <c r="E101" s="162">
        <f t="shared" ref="E101:E132" si="17">IF(+J$97&lt;F100,J$97,D101)</f>
        <v>265497.5</v>
      </c>
      <c r="F101" s="161">
        <f t="shared" ref="F101:F131" si="18">+D101-E101</f>
        <v>9192850.9375</v>
      </c>
      <c r="G101" s="161">
        <f t="shared" ref="G101:G131" si="19">+(F101+D101)/2</f>
        <v>9325599.6875</v>
      </c>
      <c r="H101" s="314">
        <f t="shared" ref="H101:H155" si="20">+J$95*G101+E101</f>
        <v>1249930.642330141</v>
      </c>
      <c r="I101" s="323">
        <f t="shared" ref="I101:I155" si="21">+J$96*G101+E101</f>
        <v>1249930.642330141</v>
      </c>
      <c r="J101" s="160">
        <f t="shared" si="13"/>
        <v>0</v>
      </c>
      <c r="K101" s="160"/>
      <c r="L101" s="316"/>
      <c r="M101" s="160">
        <f t="shared" si="14"/>
        <v>0</v>
      </c>
      <c r="N101" s="316"/>
      <c r="O101" s="160">
        <f t="shared" si="15"/>
        <v>0</v>
      </c>
      <c r="P101" s="160">
        <f t="shared" si="16"/>
        <v>0</v>
      </c>
    </row>
    <row r="102" spans="1:16">
      <c r="B102" t="str">
        <f t="shared" si="12"/>
        <v/>
      </c>
      <c r="C102" s="155">
        <f>IF(D94="","-",+C101+1)</f>
        <v>2019</v>
      </c>
      <c r="D102" s="156">
        <f>IF(F101+SUM(E$100:E101)=D$93,F101,D$93-SUM(E$100:E101))</f>
        <v>9192850.9375</v>
      </c>
      <c r="E102" s="162">
        <f t="shared" si="17"/>
        <v>265497.5</v>
      </c>
      <c r="F102" s="161">
        <f t="shared" si="18"/>
        <v>8927353.4375</v>
      </c>
      <c r="G102" s="161">
        <f t="shared" si="19"/>
        <v>9060102.1875</v>
      </c>
      <c r="H102" s="314">
        <f t="shared" si="20"/>
        <v>1221904.0760004574</v>
      </c>
      <c r="I102" s="323">
        <f t="shared" si="21"/>
        <v>1221904.0760004574</v>
      </c>
      <c r="J102" s="160">
        <f t="shared" si="13"/>
        <v>0</v>
      </c>
      <c r="K102" s="160"/>
      <c r="L102" s="316"/>
      <c r="M102" s="160">
        <f t="shared" si="14"/>
        <v>0</v>
      </c>
      <c r="N102" s="316"/>
      <c r="O102" s="160">
        <f t="shared" si="15"/>
        <v>0</v>
      </c>
      <c r="P102" s="160">
        <f t="shared" si="16"/>
        <v>0</v>
      </c>
    </row>
    <row r="103" spans="1:16">
      <c r="B103" t="str">
        <f t="shared" si="12"/>
        <v/>
      </c>
      <c r="C103" s="155">
        <f>IF(D94="","-",+C102+1)</f>
        <v>2020</v>
      </c>
      <c r="D103" s="156">
        <f>IF(F102+SUM(E$100:E102)=D$93,F102,D$93-SUM(E$100:E102))</f>
        <v>8927353.4375</v>
      </c>
      <c r="E103" s="162">
        <f t="shared" si="17"/>
        <v>265497.5</v>
      </c>
      <c r="F103" s="161">
        <f t="shared" si="18"/>
        <v>8661855.9375</v>
      </c>
      <c r="G103" s="161">
        <f t="shared" si="19"/>
        <v>8794604.6875</v>
      </c>
      <c r="H103" s="314">
        <f t="shared" si="20"/>
        <v>1193877.5096707735</v>
      </c>
      <c r="I103" s="323">
        <f t="shared" si="21"/>
        <v>1193877.5096707735</v>
      </c>
      <c r="J103" s="160">
        <f t="shared" si="13"/>
        <v>0</v>
      </c>
      <c r="K103" s="160"/>
      <c r="L103" s="316"/>
      <c r="M103" s="160">
        <f t="shared" si="14"/>
        <v>0</v>
      </c>
      <c r="N103" s="316"/>
      <c r="O103" s="160">
        <f t="shared" si="15"/>
        <v>0</v>
      </c>
      <c r="P103" s="160">
        <f t="shared" si="16"/>
        <v>0</v>
      </c>
    </row>
    <row r="104" spans="1:16">
      <c r="B104" t="str">
        <f t="shared" si="12"/>
        <v/>
      </c>
      <c r="C104" s="155">
        <f>IF(D94="","-",+C103+1)</f>
        <v>2021</v>
      </c>
      <c r="D104" s="156">
        <f>IF(F103+SUM(E$100:E103)=D$93,F103,D$93-SUM(E$100:E103))</f>
        <v>8661855.9375</v>
      </c>
      <c r="E104" s="162">
        <f t="shared" si="17"/>
        <v>265497.5</v>
      </c>
      <c r="F104" s="161">
        <f t="shared" si="18"/>
        <v>8396358.4375</v>
      </c>
      <c r="G104" s="161">
        <f t="shared" si="19"/>
        <v>8529107.1875</v>
      </c>
      <c r="H104" s="314">
        <f t="shared" si="20"/>
        <v>1165850.9433410899</v>
      </c>
      <c r="I104" s="323">
        <f t="shared" si="21"/>
        <v>1165850.9433410899</v>
      </c>
      <c r="J104" s="160">
        <f t="shared" si="13"/>
        <v>0</v>
      </c>
      <c r="K104" s="160"/>
      <c r="L104" s="316"/>
      <c r="M104" s="160">
        <f t="shared" si="14"/>
        <v>0</v>
      </c>
      <c r="N104" s="316"/>
      <c r="O104" s="160">
        <f t="shared" si="15"/>
        <v>0</v>
      </c>
      <c r="P104" s="160">
        <f t="shared" si="16"/>
        <v>0</v>
      </c>
    </row>
    <row r="105" spans="1:16">
      <c r="B105" t="str">
        <f t="shared" si="12"/>
        <v/>
      </c>
      <c r="C105" s="155">
        <f>IF(D94="","-",+C104+1)</f>
        <v>2022</v>
      </c>
      <c r="D105" s="156">
        <f>IF(F104+SUM(E$100:E104)=D$93,F104,D$93-SUM(E$100:E104))</f>
        <v>8396358.4375</v>
      </c>
      <c r="E105" s="162">
        <f t="shared" si="17"/>
        <v>265497.5</v>
      </c>
      <c r="F105" s="161">
        <f t="shared" si="18"/>
        <v>8130860.9375</v>
      </c>
      <c r="G105" s="161">
        <f t="shared" si="19"/>
        <v>8263609.6875</v>
      </c>
      <c r="H105" s="314">
        <f t="shared" si="20"/>
        <v>1137824.3770114062</v>
      </c>
      <c r="I105" s="323">
        <f t="shared" si="21"/>
        <v>1137824.3770114062</v>
      </c>
      <c r="J105" s="160">
        <f t="shared" si="13"/>
        <v>0</v>
      </c>
      <c r="K105" s="160"/>
      <c r="L105" s="316"/>
      <c r="M105" s="160">
        <f t="shared" si="14"/>
        <v>0</v>
      </c>
      <c r="N105" s="316"/>
      <c r="O105" s="160">
        <f t="shared" si="15"/>
        <v>0</v>
      </c>
      <c r="P105" s="160">
        <f t="shared" si="16"/>
        <v>0</v>
      </c>
    </row>
    <row r="106" spans="1:16">
      <c r="B106" t="str">
        <f t="shared" si="12"/>
        <v/>
      </c>
      <c r="C106" s="155">
        <f>IF(D94="","-",+C105+1)</f>
        <v>2023</v>
      </c>
      <c r="D106" s="156">
        <f>IF(F105+SUM(E$100:E105)=D$93,F105,D$93-SUM(E$100:E105))</f>
        <v>8130860.9375</v>
      </c>
      <c r="E106" s="162">
        <f t="shared" si="17"/>
        <v>265497.5</v>
      </c>
      <c r="F106" s="161">
        <f t="shared" si="18"/>
        <v>7865363.4375</v>
      </c>
      <c r="G106" s="161">
        <f t="shared" si="19"/>
        <v>7998112.1875</v>
      </c>
      <c r="H106" s="314">
        <f t="shared" si="20"/>
        <v>1109797.8106817226</v>
      </c>
      <c r="I106" s="323">
        <f t="shared" si="21"/>
        <v>1109797.8106817226</v>
      </c>
      <c r="J106" s="160">
        <f t="shared" si="13"/>
        <v>0</v>
      </c>
      <c r="K106" s="160"/>
      <c r="L106" s="316"/>
      <c r="M106" s="160">
        <f t="shared" si="14"/>
        <v>0</v>
      </c>
      <c r="N106" s="316"/>
      <c r="O106" s="160">
        <f t="shared" si="15"/>
        <v>0</v>
      </c>
      <c r="P106" s="160">
        <f t="shared" si="16"/>
        <v>0</v>
      </c>
    </row>
    <row r="107" spans="1:16">
      <c r="B107" t="str">
        <f t="shared" si="12"/>
        <v/>
      </c>
      <c r="C107" s="155">
        <f>IF(D94="","-",+C106+1)</f>
        <v>2024</v>
      </c>
      <c r="D107" s="156">
        <f>IF(F106+SUM(E$100:E106)=D$93,F106,D$93-SUM(E$100:E106))</f>
        <v>7865363.4375</v>
      </c>
      <c r="E107" s="162">
        <f t="shared" si="17"/>
        <v>265497.5</v>
      </c>
      <c r="F107" s="161">
        <f t="shared" si="18"/>
        <v>7599865.9375</v>
      </c>
      <c r="G107" s="161">
        <f t="shared" si="19"/>
        <v>7732614.6875</v>
      </c>
      <c r="H107" s="314">
        <f t="shared" si="20"/>
        <v>1081771.2443520387</v>
      </c>
      <c r="I107" s="323">
        <f t="shared" si="21"/>
        <v>1081771.2443520387</v>
      </c>
      <c r="J107" s="160">
        <f t="shared" si="13"/>
        <v>0</v>
      </c>
      <c r="K107" s="160"/>
      <c r="L107" s="316"/>
      <c r="M107" s="160">
        <f t="shared" si="14"/>
        <v>0</v>
      </c>
      <c r="N107" s="316"/>
      <c r="O107" s="160">
        <f t="shared" si="15"/>
        <v>0</v>
      </c>
      <c r="P107" s="160">
        <f t="shared" si="16"/>
        <v>0</v>
      </c>
    </row>
    <row r="108" spans="1:16">
      <c r="B108" t="str">
        <f t="shared" si="12"/>
        <v/>
      </c>
      <c r="C108" s="155">
        <f>IF(D94="","-",+C107+1)</f>
        <v>2025</v>
      </c>
      <c r="D108" s="156">
        <f>IF(F107+SUM(E$100:E107)=D$93,F107,D$93-SUM(E$100:E107))</f>
        <v>7599865.9375</v>
      </c>
      <c r="E108" s="162">
        <f t="shared" si="17"/>
        <v>265497.5</v>
      </c>
      <c r="F108" s="161">
        <f t="shared" si="18"/>
        <v>7334368.4375</v>
      </c>
      <c r="G108" s="161">
        <f t="shared" si="19"/>
        <v>7467117.1875</v>
      </c>
      <c r="H108" s="314">
        <f t="shared" si="20"/>
        <v>1053744.6780223548</v>
      </c>
      <c r="I108" s="323">
        <f t="shared" si="21"/>
        <v>1053744.6780223548</v>
      </c>
      <c r="J108" s="160">
        <f t="shared" si="13"/>
        <v>0</v>
      </c>
      <c r="K108" s="160"/>
      <c r="L108" s="316"/>
      <c r="M108" s="160">
        <f t="shared" si="14"/>
        <v>0</v>
      </c>
      <c r="N108" s="316"/>
      <c r="O108" s="160">
        <f t="shared" si="15"/>
        <v>0</v>
      </c>
      <c r="P108" s="160">
        <f t="shared" si="16"/>
        <v>0</v>
      </c>
    </row>
    <row r="109" spans="1:16">
      <c r="B109" t="str">
        <f t="shared" si="12"/>
        <v/>
      </c>
      <c r="C109" s="155">
        <f>IF(D94="","-",+C108+1)</f>
        <v>2026</v>
      </c>
      <c r="D109" s="156">
        <f>IF(F108+SUM(E$100:E108)=D$93,F108,D$93-SUM(E$100:E108))</f>
        <v>7334368.4375</v>
      </c>
      <c r="E109" s="162">
        <f t="shared" si="17"/>
        <v>265497.5</v>
      </c>
      <c r="F109" s="161">
        <f t="shared" si="18"/>
        <v>7068870.9375</v>
      </c>
      <c r="G109" s="161">
        <f t="shared" si="19"/>
        <v>7201619.6875</v>
      </c>
      <c r="H109" s="314">
        <f t="shared" si="20"/>
        <v>1025718.1116926712</v>
      </c>
      <c r="I109" s="323">
        <f t="shared" si="21"/>
        <v>1025718.1116926712</v>
      </c>
      <c r="J109" s="160">
        <f t="shared" si="13"/>
        <v>0</v>
      </c>
      <c r="K109" s="160"/>
      <c r="L109" s="316"/>
      <c r="M109" s="160">
        <f t="shared" si="14"/>
        <v>0</v>
      </c>
      <c r="N109" s="316"/>
      <c r="O109" s="160">
        <f t="shared" si="15"/>
        <v>0</v>
      </c>
      <c r="P109" s="160">
        <f t="shared" si="16"/>
        <v>0</v>
      </c>
    </row>
    <row r="110" spans="1:16">
      <c r="B110" t="str">
        <f t="shared" si="12"/>
        <v/>
      </c>
      <c r="C110" s="155">
        <f>IF(D94="","-",+C109+1)</f>
        <v>2027</v>
      </c>
      <c r="D110" s="156">
        <f>IF(F109+SUM(E$100:E109)=D$93,F109,D$93-SUM(E$100:E109))</f>
        <v>7068870.9375</v>
      </c>
      <c r="E110" s="162">
        <f t="shared" si="17"/>
        <v>265497.5</v>
      </c>
      <c r="F110" s="161">
        <f t="shared" si="18"/>
        <v>6803373.4375</v>
      </c>
      <c r="G110" s="161">
        <f t="shared" si="19"/>
        <v>6936122.1875</v>
      </c>
      <c r="H110" s="314">
        <f t="shared" si="20"/>
        <v>997691.54536298756</v>
      </c>
      <c r="I110" s="323">
        <f t="shared" si="21"/>
        <v>997691.54536298756</v>
      </c>
      <c r="J110" s="160">
        <f t="shared" si="13"/>
        <v>0</v>
      </c>
      <c r="K110" s="160"/>
      <c r="L110" s="316"/>
      <c r="M110" s="160">
        <f t="shared" si="14"/>
        <v>0</v>
      </c>
      <c r="N110" s="316"/>
      <c r="O110" s="160">
        <f t="shared" si="15"/>
        <v>0</v>
      </c>
      <c r="P110" s="160">
        <f t="shared" si="16"/>
        <v>0</v>
      </c>
    </row>
    <row r="111" spans="1:16">
      <c r="B111" t="str">
        <f t="shared" si="12"/>
        <v/>
      </c>
      <c r="C111" s="155">
        <f>IF(D94="","-",+C110+1)</f>
        <v>2028</v>
      </c>
      <c r="D111" s="156">
        <f>IF(F110+SUM(E$100:E110)=D$93,F110,D$93-SUM(E$100:E110))</f>
        <v>6803373.4375</v>
      </c>
      <c r="E111" s="162">
        <f t="shared" si="17"/>
        <v>265497.5</v>
      </c>
      <c r="F111" s="161">
        <f t="shared" si="18"/>
        <v>6537875.9375</v>
      </c>
      <c r="G111" s="161">
        <f t="shared" si="19"/>
        <v>6670624.6875</v>
      </c>
      <c r="H111" s="314">
        <f t="shared" si="20"/>
        <v>969664.9790333038</v>
      </c>
      <c r="I111" s="323">
        <f t="shared" si="21"/>
        <v>969664.9790333038</v>
      </c>
      <c r="J111" s="160">
        <f t="shared" si="13"/>
        <v>0</v>
      </c>
      <c r="K111" s="160"/>
      <c r="L111" s="316"/>
      <c r="M111" s="160">
        <f t="shared" si="14"/>
        <v>0</v>
      </c>
      <c r="N111" s="316"/>
      <c r="O111" s="160">
        <f t="shared" si="15"/>
        <v>0</v>
      </c>
      <c r="P111" s="160">
        <f t="shared" si="16"/>
        <v>0</v>
      </c>
    </row>
    <row r="112" spans="1:16">
      <c r="B112" t="str">
        <f t="shared" si="12"/>
        <v/>
      </c>
      <c r="C112" s="155">
        <f>IF(D94="","-",+C111+1)</f>
        <v>2029</v>
      </c>
      <c r="D112" s="156">
        <f>IF(F111+SUM(E$100:E111)=D$93,F111,D$93-SUM(E$100:E111))</f>
        <v>6537875.9375</v>
      </c>
      <c r="E112" s="162">
        <f t="shared" si="17"/>
        <v>265497.5</v>
      </c>
      <c r="F112" s="161">
        <f t="shared" si="18"/>
        <v>6272378.4375</v>
      </c>
      <c r="G112" s="161">
        <f t="shared" si="19"/>
        <v>6405127.1875</v>
      </c>
      <c r="H112" s="314">
        <f t="shared" si="20"/>
        <v>941638.41270362004</v>
      </c>
      <c r="I112" s="323">
        <f t="shared" si="21"/>
        <v>941638.41270362004</v>
      </c>
      <c r="J112" s="160">
        <f t="shared" si="13"/>
        <v>0</v>
      </c>
      <c r="K112" s="160"/>
      <c r="L112" s="316"/>
      <c r="M112" s="160">
        <f t="shared" si="14"/>
        <v>0</v>
      </c>
      <c r="N112" s="316"/>
      <c r="O112" s="160">
        <f t="shared" si="15"/>
        <v>0</v>
      </c>
      <c r="P112" s="160">
        <f t="shared" si="16"/>
        <v>0</v>
      </c>
    </row>
    <row r="113" spans="2:16">
      <c r="B113" t="str">
        <f t="shared" si="12"/>
        <v/>
      </c>
      <c r="C113" s="155">
        <f>IF(D94="","-",+C112+1)</f>
        <v>2030</v>
      </c>
      <c r="D113" s="156">
        <f>IF(F112+SUM(E$100:E112)=D$93,F112,D$93-SUM(E$100:E112))</f>
        <v>6272378.4375</v>
      </c>
      <c r="E113" s="162">
        <f t="shared" si="17"/>
        <v>265497.5</v>
      </c>
      <c r="F113" s="161">
        <f t="shared" si="18"/>
        <v>6006880.9375</v>
      </c>
      <c r="G113" s="161">
        <f t="shared" si="19"/>
        <v>6139629.6875</v>
      </c>
      <c r="H113" s="314">
        <f t="shared" si="20"/>
        <v>913611.84637393628</v>
      </c>
      <c r="I113" s="323">
        <f t="shared" si="21"/>
        <v>913611.84637393628</v>
      </c>
      <c r="J113" s="160">
        <f t="shared" si="13"/>
        <v>0</v>
      </c>
      <c r="K113" s="160"/>
      <c r="L113" s="316"/>
      <c r="M113" s="160">
        <f t="shared" si="14"/>
        <v>0</v>
      </c>
      <c r="N113" s="316"/>
      <c r="O113" s="160">
        <f t="shared" si="15"/>
        <v>0</v>
      </c>
      <c r="P113" s="160">
        <f t="shared" si="16"/>
        <v>0</v>
      </c>
    </row>
    <row r="114" spans="2:16">
      <c r="B114" t="str">
        <f t="shared" si="12"/>
        <v/>
      </c>
      <c r="C114" s="155">
        <f>IF(D94="","-",+C113+1)</f>
        <v>2031</v>
      </c>
      <c r="D114" s="156">
        <f>IF(F113+SUM(E$100:E113)=D$93,F113,D$93-SUM(E$100:E113))</f>
        <v>6006880.9375</v>
      </c>
      <c r="E114" s="162">
        <f t="shared" si="17"/>
        <v>265497.5</v>
      </c>
      <c r="F114" s="161">
        <f t="shared" si="18"/>
        <v>5741383.4375</v>
      </c>
      <c r="G114" s="161">
        <f t="shared" si="19"/>
        <v>5874132.1875</v>
      </c>
      <c r="H114" s="314">
        <f t="shared" si="20"/>
        <v>885585.28004425252</v>
      </c>
      <c r="I114" s="323">
        <f t="shared" si="21"/>
        <v>885585.28004425252</v>
      </c>
      <c r="J114" s="160">
        <f t="shared" si="13"/>
        <v>0</v>
      </c>
      <c r="K114" s="160"/>
      <c r="L114" s="316"/>
      <c r="M114" s="160">
        <f t="shared" si="14"/>
        <v>0</v>
      </c>
      <c r="N114" s="316"/>
      <c r="O114" s="160">
        <f t="shared" si="15"/>
        <v>0</v>
      </c>
      <c r="P114" s="160">
        <f t="shared" si="16"/>
        <v>0</v>
      </c>
    </row>
    <row r="115" spans="2:16">
      <c r="B115" t="str">
        <f t="shared" si="12"/>
        <v/>
      </c>
      <c r="C115" s="155">
        <f>IF(D94="","-",+C114+1)</f>
        <v>2032</v>
      </c>
      <c r="D115" s="156">
        <f>IF(F114+SUM(E$100:E114)=D$93,F114,D$93-SUM(E$100:E114))</f>
        <v>5741383.4375</v>
      </c>
      <c r="E115" s="162">
        <f t="shared" si="17"/>
        <v>265497.5</v>
      </c>
      <c r="F115" s="161">
        <f t="shared" si="18"/>
        <v>5475885.9375</v>
      </c>
      <c r="G115" s="161">
        <f t="shared" si="19"/>
        <v>5608634.6875</v>
      </c>
      <c r="H115" s="314">
        <f t="shared" si="20"/>
        <v>857558.71371456888</v>
      </c>
      <c r="I115" s="323">
        <f t="shared" si="21"/>
        <v>857558.71371456888</v>
      </c>
      <c r="J115" s="160">
        <f t="shared" si="13"/>
        <v>0</v>
      </c>
      <c r="K115" s="160"/>
      <c r="L115" s="316"/>
      <c r="M115" s="160">
        <f t="shared" si="14"/>
        <v>0</v>
      </c>
      <c r="N115" s="316"/>
      <c r="O115" s="160">
        <f t="shared" si="15"/>
        <v>0</v>
      </c>
      <c r="P115" s="160">
        <f t="shared" si="16"/>
        <v>0</v>
      </c>
    </row>
    <row r="116" spans="2:16">
      <c r="B116" t="str">
        <f t="shared" si="12"/>
        <v/>
      </c>
      <c r="C116" s="155">
        <f>IF(D94="","-",+C115+1)</f>
        <v>2033</v>
      </c>
      <c r="D116" s="156">
        <f>IF(F115+SUM(E$100:E115)=D$93,F115,D$93-SUM(E$100:E115))</f>
        <v>5475885.9375</v>
      </c>
      <c r="E116" s="162">
        <f t="shared" si="17"/>
        <v>265497.5</v>
      </c>
      <c r="F116" s="161">
        <f t="shared" si="18"/>
        <v>5210388.4375</v>
      </c>
      <c r="G116" s="161">
        <f t="shared" si="19"/>
        <v>5343137.1875</v>
      </c>
      <c r="H116" s="314">
        <f t="shared" si="20"/>
        <v>829532.14738488512</v>
      </c>
      <c r="I116" s="323">
        <f t="shared" si="21"/>
        <v>829532.14738488512</v>
      </c>
      <c r="J116" s="160">
        <f t="shared" si="13"/>
        <v>0</v>
      </c>
      <c r="K116" s="160"/>
      <c r="L116" s="316"/>
      <c r="M116" s="160">
        <f t="shared" si="14"/>
        <v>0</v>
      </c>
      <c r="N116" s="316"/>
      <c r="O116" s="160">
        <f t="shared" si="15"/>
        <v>0</v>
      </c>
      <c r="P116" s="160">
        <f t="shared" si="16"/>
        <v>0</v>
      </c>
    </row>
    <row r="117" spans="2:16">
      <c r="B117" t="str">
        <f t="shared" si="12"/>
        <v/>
      </c>
      <c r="C117" s="155">
        <f>IF(D94="","-",+C116+1)</f>
        <v>2034</v>
      </c>
      <c r="D117" s="156">
        <f>IF(F116+SUM(E$100:E116)=D$93,F116,D$93-SUM(E$100:E116))</f>
        <v>5210388.4375</v>
      </c>
      <c r="E117" s="162">
        <f t="shared" si="17"/>
        <v>265497.5</v>
      </c>
      <c r="F117" s="161">
        <f t="shared" si="18"/>
        <v>4944890.9375</v>
      </c>
      <c r="G117" s="161">
        <f t="shared" si="19"/>
        <v>5077639.6875</v>
      </c>
      <c r="H117" s="314">
        <f t="shared" si="20"/>
        <v>801505.58105520136</v>
      </c>
      <c r="I117" s="323">
        <f t="shared" si="21"/>
        <v>801505.58105520136</v>
      </c>
      <c r="J117" s="160">
        <f t="shared" si="13"/>
        <v>0</v>
      </c>
      <c r="K117" s="160"/>
      <c r="L117" s="316"/>
      <c r="M117" s="160">
        <f t="shared" si="14"/>
        <v>0</v>
      </c>
      <c r="N117" s="316"/>
      <c r="O117" s="160">
        <f t="shared" si="15"/>
        <v>0</v>
      </c>
      <c r="P117" s="160">
        <f t="shared" si="16"/>
        <v>0</v>
      </c>
    </row>
    <row r="118" spans="2:16">
      <c r="B118" t="str">
        <f t="shared" si="12"/>
        <v/>
      </c>
      <c r="C118" s="155">
        <f>IF(D94="","-",+C117+1)</f>
        <v>2035</v>
      </c>
      <c r="D118" s="156">
        <f>IF(F117+SUM(E$100:E117)=D$93,F117,D$93-SUM(E$100:E117))</f>
        <v>4944890.9375</v>
      </c>
      <c r="E118" s="162">
        <f t="shared" si="17"/>
        <v>265497.5</v>
      </c>
      <c r="F118" s="161">
        <f t="shared" si="18"/>
        <v>4679393.4375</v>
      </c>
      <c r="G118" s="161">
        <f t="shared" si="19"/>
        <v>4812142.1875</v>
      </c>
      <c r="H118" s="314">
        <f t="shared" si="20"/>
        <v>773479.01472551771</v>
      </c>
      <c r="I118" s="323">
        <f t="shared" si="21"/>
        <v>773479.01472551771</v>
      </c>
      <c r="J118" s="160">
        <f t="shared" si="13"/>
        <v>0</v>
      </c>
      <c r="K118" s="160"/>
      <c r="L118" s="316"/>
      <c r="M118" s="160">
        <f t="shared" si="14"/>
        <v>0</v>
      </c>
      <c r="N118" s="316"/>
      <c r="O118" s="160">
        <f t="shared" si="15"/>
        <v>0</v>
      </c>
      <c r="P118" s="160">
        <f t="shared" si="16"/>
        <v>0</v>
      </c>
    </row>
    <row r="119" spans="2:16">
      <c r="B119" t="str">
        <f t="shared" si="12"/>
        <v/>
      </c>
      <c r="C119" s="155">
        <f>IF(D94="","-",+C118+1)</f>
        <v>2036</v>
      </c>
      <c r="D119" s="156">
        <f>IF(F118+SUM(E$100:E118)=D$93,F118,D$93-SUM(E$100:E118))</f>
        <v>4679393.4375</v>
      </c>
      <c r="E119" s="162">
        <f t="shared" si="17"/>
        <v>265497.5</v>
      </c>
      <c r="F119" s="161">
        <f t="shared" si="18"/>
        <v>4413895.9375</v>
      </c>
      <c r="G119" s="161">
        <f t="shared" si="19"/>
        <v>4546644.6875</v>
      </c>
      <c r="H119" s="314">
        <f t="shared" si="20"/>
        <v>745452.44839583384</v>
      </c>
      <c r="I119" s="323">
        <f t="shared" si="21"/>
        <v>745452.44839583384</v>
      </c>
      <c r="J119" s="160">
        <f t="shared" si="13"/>
        <v>0</v>
      </c>
      <c r="K119" s="160"/>
      <c r="L119" s="316"/>
      <c r="M119" s="160">
        <f t="shared" si="14"/>
        <v>0</v>
      </c>
      <c r="N119" s="316"/>
      <c r="O119" s="160">
        <f t="shared" si="15"/>
        <v>0</v>
      </c>
      <c r="P119" s="160">
        <f t="shared" si="16"/>
        <v>0</v>
      </c>
    </row>
    <row r="120" spans="2:16">
      <c r="B120" t="str">
        <f t="shared" si="12"/>
        <v/>
      </c>
      <c r="C120" s="155">
        <f>IF(D94="","-",+C119+1)</f>
        <v>2037</v>
      </c>
      <c r="D120" s="156">
        <f>IF(F119+SUM(E$100:E119)=D$93,F119,D$93-SUM(E$100:E119))</f>
        <v>4413895.9375</v>
      </c>
      <c r="E120" s="162">
        <f t="shared" si="17"/>
        <v>265497.5</v>
      </c>
      <c r="F120" s="161">
        <f t="shared" si="18"/>
        <v>4148398.4375</v>
      </c>
      <c r="G120" s="161">
        <f t="shared" si="19"/>
        <v>4281147.1875</v>
      </c>
      <c r="H120" s="314">
        <f t="shared" si="20"/>
        <v>717425.8820661502</v>
      </c>
      <c r="I120" s="323">
        <f t="shared" si="21"/>
        <v>717425.8820661502</v>
      </c>
      <c r="J120" s="160">
        <f t="shared" si="13"/>
        <v>0</v>
      </c>
      <c r="K120" s="160"/>
      <c r="L120" s="316"/>
      <c r="M120" s="160">
        <f t="shared" si="14"/>
        <v>0</v>
      </c>
      <c r="N120" s="316"/>
      <c r="O120" s="160">
        <f t="shared" si="15"/>
        <v>0</v>
      </c>
      <c r="P120" s="160">
        <f t="shared" si="16"/>
        <v>0</v>
      </c>
    </row>
    <row r="121" spans="2:16">
      <c r="B121" t="str">
        <f t="shared" si="12"/>
        <v/>
      </c>
      <c r="C121" s="155">
        <f>IF(D94="","-",+C120+1)</f>
        <v>2038</v>
      </c>
      <c r="D121" s="156">
        <f>IF(F120+SUM(E$100:E120)=D$93,F120,D$93-SUM(E$100:E120))</f>
        <v>4148398.4375</v>
      </c>
      <c r="E121" s="162">
        <f t="shared" si="17"/>
        <v>265497.5</v>
      </c>
      <c r="F121" s="161">
        <f t="shared" si="18"/>
        <v>3882900.9375</v>
      </c>
      <c r="G121" s="161">
        <f t="shared" si="19"/>
        <v>4015649.6875</v>
      </c>
      <c r="H121" s="314">
        <f t="shared" si="20"/>
        <v>689399.31573646644</v>
      </c>
      <c r="I121" s="323">
        <f t="shared" si="21"/>
        <v>689399.31573646644</v>
      </c>
      <c r="J121" s="160">
        <f t="shared" si="13"/>
        <v>0</v>
      </c>
      <c r="K121" s="160"/>
      <c r="L121" s="316"/>
      <c r="M121" s="160">
        <f t="shared" si="14"/>
        <v>0</v>
      </c>
      <c r="N121" s="316"/>
      <c r="O121" s="160">
        <f t="shared" si="15"/>
        <v>0</v>
      </c>
      <c r="P121" s="160">
        <f t="shared" si="16"/>
        <v>0</v>
      </c>
    </row>
    <row r="122" spans="2:16">
      <c r="B122" t="str">
        <f t="shared" si="12"/>
        <v/>
      </c>
      <c r="C122" s="155">
        <f>IF(D94="","-",+C121+1)</f>
        <v>2039</v>
      </c>
      <c r="D122" s="156">
        <f>IF(F121+SUM(E$100:E121)=D$93,F121,D$93-SUM(E$100:E121))</f>
        <v>3882900.9375</v>
      </c>
      <c r="E122" s="162">
        <f t="shared" si="17"/>
        <v>265497.5</v>
      </c>
      <c r="F122" s="161">
        <f t="shared" si="18"/>
        <v>3617403.4375</v>
      </c>
      <c r="G122" s="161">
        <f t="shared" si="19"/>
        <v>3750152.1875</v>
      </c>
      <c r="H122" s="314">
        <f t="shared" si="20"/>
        <v>661372.74940678268</v>
      </c>
      <c r="I122" s="323">
        <f t="shared" si="21"/>
        <v>661372.74940678268</v>
      </c>
      <c r="J122" s="160">
        <f t="shared" si="13"/>
        <v>0</v>
      </c>
      <c r="K122" s="160"/>
      <c r="L122" s="316"/>
      <c r="M122" s="160">
        <f t="shared" si="14"/>
        <v>0</v>
      </c>
      <c r="N122" s="316"/>
      <c r="O122" s="160">
        <f t="shared" si="15"/>
        <v>0</v>
      </c>
      <c r="P122" s="160">
        <f t="shared" si="16"/>
        <v>0</v>
      </c>
    </row>
    <row r="123" spans="2:16">
      <c r="B123" t="str">
        <f t="shared" si="12"/>
        <v/>
      </c>
      <c r="C123" s="155">
        <f>IF(D94="","-",+C122+1)</f>
        <v>2040</v>
      </c>
      <c r="D123" s="156">
        <f>IF(F122+SUM(E$100:E122)=D$93,F122,D$93-SUM(E$100:E122))</f>
        <v>3617403.4375</v>
      </c>
      <c r="E123" s="162">
        <f t="shared" si="17"/>
        <v>265497.5</v>
      </c>
      <c r="F123" s="161">
        <f t="shared" si="18"/>
        <v>3351905.9375</v>
      </c>
      <c r="G123" s="161">
        <f t="shared" si="19"/>
        <v>3484654.6875</v>
      </c>
      <c r="H123" s="314">
        <f t="shared" si="20"/>
        <v>633346.18307709903</v>
      </c>
      <c r="I123" s="323">
        <f t="shared" si="21"/>
        <v>633346.18307709903</v>
      </c>
      <c r="J123" s="160">
        <f t="shared" si="13"/>
        <v>0</v>
      </c>
      <c r="K123" s="160"/>
      <c r="L123" s="316"/>
      <c r="M123" s="160">
        <f t="shared" si="14"/>
        <v>0</v>
      </c>
      <c r="N123" s="316"/>
      <c r="O123" s="160">
        <f t="shared" si="15"/>
        <v>0</v>
      </c>
      <c r="P123" s="160">
        <f t="shared" si="16"/>
        <v>0</v>
      </c>
    </row>
    <row r="124" spans="2:16">
      <c r="B124" t="str">
        <f t="shared" si="12"/>
        <v/>
      </c>
      <c r="C124" s="155">
        <f>IF(D94="","-",+C123+1)</f>
        <v>2041</v>
      </c>
      <c r="D124" s="156">
        <f>IF(F123+SUM(E$100:E123)=D$93,F123,D$93-SUM(E$100:E123))</f>
        <v>3351905.9375</v>
      </c>
      <c r="E124" s="162">
        <f t="shared" si="17"/>
        <v>265497.5</v>
      </c>
      <c r="F124" s="161">
        <f t="shared" si="18"/>
        <v>3086408.4375</v>
      </c>
      <c r="G124" s="161">
        <f t="shared" si="19"/>
        <v>3219157.1875</v>
      </c>
      <c r="H124" s="314">
        <f t="shared" si="20"/>
        <v>605319.61674741528</v>
      </c>
      <c r="I124" s="323">
        <f t="shared" si="21"/>
        <v>605319.61674741528</v>
      </c>
      <c r="J124" s="160">
        <f t="shared" si="13"/>
        <v>0</v>
      </c>
      <c r="K124" s="160"/>
      <c r="L124" s="316"/>
      <c r="M124" s="160">
        <f t="shared" si="14"/>
        <v>0</v>
      </c>
      <c r="N124" s="316"/>
      <c r="O124" s="160">
        <f t="shared" si="15"/>
        <v>0</v>
      </c>
      <c r="P124" s="160">
        <f t="shared" si="16"/>
        <v>0</v>
      </c>
    </row>
    <row r="125" spans="2:16">
      <c r="B125" t="str">
        <f t="shared" si="12"/>
        <v/>
      </c>
      <c r="C125" s="155">
        <f>IF(D94="","-",+C124+1)</f>
        <v>2042</v>
      </c>
      <c r="D125" s="156">
        <f>IF(F124+SUM(E$100:E124)=D$93,F124,D$93-SUM(E$100:E124))</f>
        <v>3086408.4375</v>
      </c>
      <c r="E125" s="162">
        <f t="shared" si="17"/>
        <v>265497.5</v>
      </c>
      <c r="F125" s="161">
        <f t="shared" si="18"/>
        <v>2820910.9375</v>
      </c>
      <c r="G125" s="161">
        <f t="shared" si="19"/>
        <v>2953659.6875</v>
      </c>
      <c r="H125" s="314">
        <f t="shared" si="20"/>
        <v>577293.05041773152</v>
      </c>
      <c r="I125" s="323">
        <f t="shared" si="21"/>
        <v>577293.05041773152</v>
      </c>
      <c r="J125" s="160">
        <f t="shared" si="13"/>
        <v>0</v>
      </c>
      <c r="K125" s="160"/>
      <c r="L125" s="316"/>
      <c r="M125" s="160">
        <f t="shared" si="14"/>
        <v>0</v>
      </c>
      <c r="N125" s="316"/>
      <c r="O125" s="160">
        <f t="shared" si="15"/>
        <v>0</v>
      </c>
      <c r="P125" s="160">
        <f t="shared" si="16"/>
        <v>0</v>
      </c>
    </row>
    <row r="126" spans="2:16">
      <c r="B126" t="str">
        <f t="shared" si="12"/>
        <v/>
      </c>
      <c r="C126" s="155">
        <f>IF(D94="","-",+C125+1)</f>
        <v>2043</v>
      </c>
      <c r="D126" s="156">
        <f>IF(F125+SUM(E$100:E125)=D$93,F125,D$93-SUM(E$100:E125))</f>
        <v>2820910.9375</v>
      </c>
      <c r="E126" s="162">
        <f t="shared" si="17"/>
        <v>265497.5</v>
      </c>
      <c r="F126" s="161">
        <f t="shared" si="18"/>
        <v>2555413.4375</v>
      </c>
      <c r="G126" s="161">
        <f t="shared" si="19"/>
        <v>2688162.1875</v>
      </c>
      <c r="H126" s="314">
        <f t="shared" si="20"/>
        <v>549266.48408804787</v>
      </c>
      <c r="I126" s="323">
        <f t="shared" si="21"/>
        <v>549266.48408804787</v>
      </c>
      <c r="J126" s="160">
        <f t="shared" si="13"/>
        <v>0</v>
      </c>
      <c r="K126" s="160"/>
      <c r="L126" s="316"/>
      <c r="M126" s="160">
        <f t="shared" si="14"/>
        <v>0</v>
      </c>
      <c r="N126" s="316"/>
      <c r="O126" s="160">
        <f t="shared" si="15"/>
        <v>0</v>
      </c>
      <c r="P126" s="160">
        <f t="shared" si="16"/>
        <v>0</v>
      </c>
    </row>
    <row r="127" spans="2:16">
      <c r="B127" t="str">
        <f t="shared" si="12"/>
        <v/>
      </c>
      <c r="C127" s="155">
        <f>IF(D94="","-",+C126+1)</f>
        <v>2044</v>
      </c>
      <c r="D127" s="156">
        <f>IF(F126+SUM(E$100:E126)=D$93,F126,D$93-SUM(E$100:E126))</f>
        <v>2555413.4375</v>
      </c>
      <c r="E127" s="162">
        <f t="shared" si="17"/>
        <v>265497.5</v>
      </c>
      <c r="F127" s="161">
        <f t="shared" si="18"/>
        <v>2289915.9375</v>
      </c>
      <c r="G127" s="161">
        <f t="shared" si="19"/>
        <v>2422664.6875</v>
      </c>
      <c r="H127" s="314">
        <f t="shared" si="20"/>
        <v>521239.91775836406</v>
      </c>
      <c r="I127" s="323">
        <f t="shared" si="21"/>
        <v>521239.91775836406</v>
      </c>
      <c r="J127" s="160">
        <f t="shared" si="13"/>
        <v>0</v>
      </c>
      <c r="K127" s="160"/>
      <c r="L127" s="316"/>
      <c r="M127" s="160">
        <f t="shared" si="14"/>
        <v>0</v>
      </c>
      <c r="N127" s="316"/>
      <c r="O127" s="160">
        <f t="shared" si="15"/>
        <v>0</v>
      </c>
      <c r="P127" s="160">
        <f t="shared" si="16"/>
        <v>0</v>
      </c>
    </row>
    <row r="128" spans="2:16">
      <c r="B128" t="str">
        <f t="shared" si="12"/>
        <v/>
      </c>
      <c r="C128" s="155">
        <f>IF(D94="","-",+C127+1)</f>
        <v>2045</v>
      </c>
      <c r="D128" s="156">
        <f>IF(F127+SUM(E$100:E127)=D$93,F127,D$93-SUM(E$100:E127))</f>
        <v>2289915.9375</v>
      </c>
      <c r="E128" s="162">
        <f t="shared" si="17"/>
        <v>265497.5</v>
      </c>
      <c r="F128" s="161">
        <f t="shared" si="18"/>
        <v>2024418.4375</v>
      </c>
      <c r="G128" s="161">
        <f t="shared" si="19"/>
        <v>2157167.1875</v>
      </c>
      <c r="H128" s="314">
        <f t="shared" si="20"/>
        <v>493213.35142868035</v>
      </c>
      <c r="I128" s="323">
        <f t="shared" si="21"/>
        <v>493213.35142868035</v>
      </c>
      <c r="J128" s="160">
        <f t="shared" si="13"/>
        <v>0</v>
      </c>
      <c r="K128" s="160"/>
      <c r="L128" s="316"/>
      <c r="M128" s="160">
        <f t="shared" si="14"/>
        <v>0</v>
      </c>
      <c r="N128" s="316"/>
      <c r="O128" s="160">
        <f t="shared" si="15"/>
        <v>0</v>
      </c>
      <c r="P128" s="160">
        <f t="shared" si="16"/>
        <v>0</v>
      </c>
    </row>
    <row r="129" spans="2:16">
      <c r="B129" t="str">
        <f t="shared" si="12"/>
        <v/>
      </c>
      <c r="C129" s="155">
        <f>IF(D94="","-",+C128+1)</f>
        <v>2046</v>
      </c>
      <c r="D129" s="156">
        <f>IF(F128+SUM(E$100:E128)=D$93,F128,D$93-SUM(E$100:E128))</f>
        <v>2024418.4375</v>
      </c>
      <c r="E129" s="162">
        <f t="shared" si="17"/>
        <v>265497.5</v>
      </c>
      <c r="F129" s="161">
        <f t="shared" si="18"/>
        <v>1758920.9375</v>
      </c>
      <c r="G129" s="161">
        <f t="shared" si="19"/>
        <v>1891669.6875</v>
      </c>
      <c r="H129" s="314">
        <f t="shared" si="20"/>
        <v>465186.7850989966</v>
      </c>
      <c r="I129" s="323">
        <f t="shared" si="21"/>
        <v>465186.7850989966</v>
      </c>
      <c r="J129" s="160">
        <f t="shared" si="13"/>
        <v>0</v>
      </c>
      <c r="K129" s="160"/>
      <c r="L129" s="316"/>
      <c r="M129" s="160">
        <f t="shared" si="14"/>
        <v>0</v>
      </c>
      <c r="N129" s="316"/>
      <c r="O129" s="160">
        <f t="shared" si="15"/>
        <v>0</v>
      </c>
      <c r="P129" s="160">
        <f t="shared" si="16"/>
        <v>0</v>
      </c>
    </row>
    <row r="130" spans="2:16">
      <c r="B130" t="str">
        <f t="shared" si="12"/>
        <v/>
      </c>
      <c r="C130" s="155">
        <f>IF(D94="","-",+C129+1)</f>
        <v>2047</v>
      </c>
      <c r="D130" s="156">
        <f>IF(F129+SUM(E$100:E129)=D$93,F129,D$93-SUM(E$100:E129))</f>
        <v>1758920.9375</v>
      </c>
      <c r="E130" s="162">
        <f t="shared" si="17"/>
        <v>265497.5</v>
      </c>
      <c r="F130" s="161">
        <f t="shared" si="18"/>
        <v>1493423.4375</v>
      </c>
      <c r="G130" s="161">
        <f t="shared" si="19"/>
        <v>1626172.1875</v>
      </c>
      <c r="H130" s="314">
        <f t="shared" si="20"/>
        <v>437160.21876931284</v>
      </c>
      <c r="I130" s="323">
        <f t="shared" si="21"/>
        <v>437160.21876931284</v>
      </c>
      <c r="J130" s="160">
        <f t="shared" si="13"/>
        <v>0</v>
      </c>
      <c r="K130" s="160"/>
      <c r="L130" s="316"/>
      <c r="M130" s="160">
        <f t="shared" si="14"/>
        <v>0</v>
      </c>
      <c r="N130" s="316"/>
      <c r="O130" s="160">
        <f t="shared" si="15"/>
        <v>0</v>
      </c>
      <c r="P130" s="160">
        <f t="shared" si="16"/>
        <v>0</v>
      </c>
    </row>
    <row r="131" spans="2:16">
      <c r="B131" t="str">
        <f t="shared" si="12"/>
        <v/>
      </c>
      <c r="C131" s="155">
        <f>IF(D94="","-",+C130+1)</f>
        <v>2048</v>
      </c>
      <c r="D131" s="156">
        <f>IF(F130+SUM(E$100:E130)=D$93,F130,D$93-SUM(E$100:E130))</f>
        <v>1493423.4375</v>
      </c>
      <c r="E131" s="162">
        <f t="shared" si="17"/>
        <v>265497.5</v>
      </c>
      <c r="F131" s="161">
        <f t="shared" si="18"/>
        <v>1227925.9375</v>
      </c>
      <c r="G131" s="161">
        <f t="shared" si="19"/>
        <v>1360674.6875</v>
      </c>
      <c r="H131" s="314">
        <f t="shared" si="20"/>
        <v>409133.65243962914</v>
      </c>
      <c r="I131" s="323">
        <f t="shared" si="21"/>
        <v>409133.65243962914</v>
      </c>
      <c r="J131" s="160">
        <f t="shared" si="13"/>
        <v>0</v>
      </c>
      <c r="K131" s="160"/>
      <c r="L131" s="316"/>
      <c r="M131" s="160">
        <f t="shared" si="14"/>
        <v>0</v>
      </c>
      <c r="N131" s="316"/>
      <c r="O131" s="160">
        <f t="shared" si="15"/>
        <v>0</v>
      </c>
      <c r="P131" s="160">
        <f t="shared" si="16"/>
        <v>0</v>
      </c>
    </row>
    <row r="132" spans="2:16">
      <c r="B132" t="str">
        <f t="shared" si="12"/>
        <v/>
      </c>
      <c r="C132" s="155">
        <f>IF(D94="","-",+C131+1)</f>
        <v>2049</v>
      </c>
      <c r="D132" s="156">
        <f>IF(F131+SUM(E$100:E131)=D$93,F131,D$93-SUM(E$100:E131))</f>
        <v>1227925.9375</v>
      </c>
      <c r="E132" s="162">
        <f t="shared" si="17"/>
        <v>265497.5</v>
      </c>
      <c r="F132" s="161">
        <f t="shared" ref="F132:F155" si="22">+D132-E132</f>
        <v>962428.4375</v>
      </c>
      <c r="G132" s="161">
        <f t="shared" ref="G132:G155" si="23">+(F132+D132)/2</f>
        <v>1095177.1875</v>
      </c>
      <c r="H132" s="314">
        <f t="shared" si="20"/>
        <v>381107.08610994538</v>
      </c>
      <c r="I132" s="323">
        <f t="shared" si="21"/>
        <v>381107.08610994538</v>
      </c>
      <c r="J132" s="160">
        <f t="shared" ref="J132:J155" si="24">+I542-H542</f>
        <v>0</v>
      </c>
      <c r="K132" s="160"/>
      <c r="L132" s="316"/>
      <c r="M132" s="160">
        <f t="shared" ref="M132:M155" si="25">IF(L542&lt;&gt;0,+H542-L542,0)</f>
        <v>0</v>
      </c>
      <c r="N132" s="316"/>
      <c r="O132" s="160">
        <f t="shared" ref="O132:O155" si="26">IF(N542&lt;&gt;0,+I542-N542,0)</f>
        <v>0</v>
      </c>
      <c r="P132" s="160">
        <f t="shared" ref="P132:P155" si="27">+O542-M542</f>
        <v>0</v>
      </c>
    </row>
    <row r="133" spans="2:16">
      <c r="B133" t="str">
        <f t="shared" si="12"/>
        <v/>
      </c>
      <c r="C133" s="155">
        <f>IF(D94="","-",+C132+1)</f>
        <v>2050</v>
      </c>
      <c r="D133" s="156">
        <f>IF(F132+SUM(E$100:E132)=D$93,F132,D$93-SUM(E$100:E132))</f>
        <v>962428.4375</v>
      </c>
      <c r="E133" s="162">
        <f t="shared" ref="E133:E155" si="28">IF(+J$97&lt;F132,J$97,D133)</f>
        <v>265497.5</v>
      </c>
      <c r="F133" s="161">
        <f t="shared" si="22"/>
        <v>696930.9375</v>
      </c>
      <c r="G133" s="161">
        <f t="shared" si="23"/>
        <v>829679.6875</v>
      </c>
      <c r="H133" s="314">
        <f t="shared" si="20"/>
        <v>353080.51978026167</v>
      </c>
      <c r="I133" s="323">
        <f t="shared" si="21"/>
        <v>353080.51978026167</v>
      </c>
      <c r="J133" s="160">
        <f t="shared" si="24"/>
        <v>0</v>
      </c>
      <c r="K133" s="160"/>
      <c r="L133" s="316"/>
      <c r="M133" s="160">
        <f t="shared" si="25"/>
        <v>0</v>
      </c>
      <c r="N133" s="316"/>
      <c r="O133" s="160">
        <f t="shared" si="26"/>
        <v>0</v>
      </c>
      <c r="P133" s="160">
        <f t="shared" si="27"/>
        <v>0</v>
      </c>
    </row>
    <row r="134" spans="2:16">
      <c r="B134" t="str">
        <f t="shared" si="12"/>
        <v/>
      </c>
      <c r="C134" s="155">
        <f>IF(D94="","-",+C133+1)</f>
        <v>2051</v>
      </c>
      <c r="D134" s="156">
        <f>IF(F133+SUM(E$100:E133)=D$93,F133,D$93-SUM(E$100:E133))</f>
        <v>696930.9375</v>
      </c>
      <c r="E134" s="162">
        <f t="shared" si="28"/>
        <v>265497.5</v>
      </c>
      <c r="F134" s="161">
        <f t="shared" si="22"/>
        <v>431433.4375</v>
      </c>
      <c r="G134" s="161">
        <f t="shared" si="23"/>
        <v>564182.1875</v>
      </c>
      <c r="H134" s="314">
        <f t="shared" si="20"/>
        <v>325053.95345057792</v>
      </c>
      <c r="I134" s="323">
        <f t="shared" si="21"/>
        <v>325053.95345057792</v>
      </c>
      <c r="J134" s="160">
        <f t="shared" si="24"/>
        <v>0</v>
      </c>
      <c r="K134" s="160"/>
      <c r="L134" s="316"/>
      <c r="M134" s="160">
        <f t="shared" si="25"/>
        <v>0</v>
      </c>
      <c r="N134" s="316"/>
      <c r="O134" s="160">
        <f t="shared" si="26"/>
        <v>0</v>
      </c>
      <c r="P134" s="160">
        <f t="shared" si="27"/>
        <v>0</v>
      </c>
    </row>
    <row r="135" spans="2:16">
      <c r="B135" t="str">
        <f t="shared" si="12"/>
        <v/>
      </c>
      <c r="C135" s="155">
        <f>IF(D94="","-",+C134+1)</f>
        <v>2052</v>
      </c>
      <c r="D135" s="156">
        <f>IF(F134+SUM(E$100:E134)=D$93,F134,D$93-SUM(E$100:E134))</f>
        <v>431433.4375</v>
      </c>
      <c r="E135" s="162">
        <f t="shared" si="28"/>
        <v>265497.5</v>
      </c>
      <c r="F135" s="161">
        <f t="shared" si="22"/>
        <v>165935.9375</v>
      </c>
      <c r="G135" s="161">
        <f t="shared" si="23"/>
        <v>298684.6875</v>
      </c>
      <c r="H135" s="314">
        <f t="shared" si="20"/>
        <v>297027.38712089421</v>
      </c>
      <c r="I135" s="323">
        <f t="shared" si="21"/>
        <v>297027.38712089421</v>
      </c>
      <c r="J135" s="160">
        <f t="shared" si="24"/>
        <v>0</v>
      </c>
      <c r="K135" s="160"/>
      <c r="L135" s="316"/>
      <c r="M135" s="160">
        <f t="shared" si="25"/>
        <v>0</v>
      </c>
      <c r="N135" s="316"/>
      <c r="O135" s="160">
        <f t="shared" si="26"/>
        <v>0</v>
      </c>
      <c r="P135" s="160">
        <f t="shared" si="27"/>
        <v>0</v>
      </c>
    </row>
    <row r="136" spans="2:16">
      <c r="B136" t="str">
        <f t="shared" si="12"/>
        <v/>
      </c>
      <c r="C136" s="155">
        <f>IF(D94="","-",+C135+1)</f>
        <v>2053</v>
      </c>
      <c r="D136" s="156">
        <f>IF(F135+SUM(E$100:E135)=D$93,F135,D$93-SUM(E$100:E135))</f>
        <v>165935.9375</v>
      </c>
      <c r="E136" s="162">
        <f t="shared" si="28"/>
        <v>165935.9375</v>
      </c>
      <c r="F136" s="161">
        <f t="shared" si="22"/>
        <v>0</v>
      </c>
      <c r="G136" s="161">
        <f t="shared" si="23"/>
        <v>82967.96875</v>
      </c>
      <c r="H136" s="314">
        <f t="shared" si="20"/>
        <v>174694.23947802617</v>
      </c>
      <c r="I136" s="323">
        <f t="shared" si="21"/>
        <v>174694.23947802617</v>
      </c>
      <c r="J136" s="160">
        <f t="shared" si="24"/>
        <v>0</v>
      </c>
      <c r="K136" s="160"/>
      <c r="L136" s="316"/>
      <c r="M136" s="160">
        <f t="shared" si="25"/>
        <v>0</v>
      </c>
      <c r="N136" s="316"/>
      <c r="O136" s="160">
        <f t="shared" si="26"/>
        <v>0</v>
      </c>
      <c r="P136" s="160">
        <f t="shared" si="27"/>
        <v>0</v>
      </c>
    </row>
    <row r="137" spans="2:16">
      <c r="B137" t="str">
        <f t="shared" si="12"/>
        <v/>
      </c>
      <c r="C137" s="155">
        <f>IF(D94="","-",+C136+1)</f>
        <v>2054</v>
      </c>
      <c r="D137" s="156">
        <f>IF(F136+SUM(E$100:E136)=D$93,F136,D$93-SUM(E$100:E136))</f>
        <v>0</v>
      </c>
      <c r="E137" s="162">
        <f t="shared" si="28"/>
        <v>0</v>
      </c>
      <c r="F137" s="161">
        <f t="shared" si="22"/>
        <v>0</v>
      </c>
      <c r="G137" s="161">
        <f t="shared" si="23"/>
        <v>0</v>
      </c>
      <c r="H137" s="314">
        <f t="shared" si="20"/>
        <v>0</v>
      </c>
      <c r="I137" s="323">
        <f t="shared" si="21"/>
        <v>0</v>
      </c>
      <c r="J137" s="160">
        <f t="shared" si="24"/>
        <v>0</v>
      </c>
      <c r="K137" s="160"/>
      <c r="L137" s="316"/>
      <c r="M137" s="160">
        <f t="shared" si="25"/>
        <v>0</v>
      </c>
      <c r="N137" s="316"/>
      <c r="O137" s="160">
        <f t="shared" si="26"/>
        <v>0</v>
      </c>
      <c r="P137" s="160">
        <f t="shared" si="27"/>
        <v>0</v>
      </c>
    </row>
    <row r="138" spans="2:16">
      <c r="B138" t="str">
        <f t="shared" si="12"/>
        <v/>
      </c>
      <c r="C138" s="155">
        <f>IF(D94="","-",+C137+1)</f>
        <v>2055</v>
      </c>
      <c r="D138" s="156">
        <f>IF(F137+SUM(E$100:E137)=D$93,F137,D$93-SUM(E$100:E137))</f>
        <v>0</v>
      </c>
      <c r="E138" s="162">
        <f t="shared" si="28"/>
        <v>0</v>
      </c>
      <c r="F138" s="161">
        <f t="shared" si="22"/>
        <v>0</v>
      </c>
      <c r="G138" s="161">
        <f t="shared" si="23"/>
        <v>0</v>
      </c>
      <c r="H138" s="314">
        <f t="shared" si="20"/>
        <v>0</v>
      </c>
      <c r="I138" s="323">
        <f t="shared" si="21"/>
        <v>0</v>
      </c>
      <c r="J138" s="160">
        <f t="shared" si="24"/>
        <v>0</v>
      </c>
      <c r="K138" s="160"/>
      <c r="L138" s="316"/>
      <c r="M138" s="160">
        <f t="shared" si="25"/>
        <v>0</v>
      </c>
      <c r="N138" s="316"/>
      <c r="O138" s="160">
        <f t="shared" si="26"/>
        <v>0</v>
      </c>
      <c r="P138" s="160">
        <f t="shared" si="27"/>
        <v>0</v>
      </c>
    </row>
    <row r="139" spans="2:16">
      <c r="B139" t="str">
        <f t="shared" si="12"/>
        <v/>
      </c>
      <c r="C139" s="155">
        <f>IF(D94="","-",+C138+1)</f>
        <v>2056</v>
      </c>
      <c r="D139" s="156">
        <f>IF(F138+SUM(E$100:E138)=D$93,F138,D$93-SUM(E$100:E138))</f>
        <v>0</v>
      </c>
      <c r="E139" s="162">
        <f t="shared" si="28"/>
        <v>0</v>
      </c>
      <c r="F139" s="161">
        <f t="shared" si="22"/>
        <v>0</v>
      </c>
      <c r="G139" s="161">
        <f t="shared" si="23"/>
        <v>0</v>
      </c>
      <c r="H139" s="314">
        <f t="shared" si="20"/>
        <v>0</v>
      </c>
      <c r="I139" s="323">
        <f t="shared" si="21"/>
        <v>0</v>
      </c>
      <c r="J139" s="160">
        <f t="shared" si="24"/>
        <v>0</v>
      </c>
      <c r="K139" s="160"/>
      <c r="L139" s="316"/>
      <c r="M139" s="160">
        <f t="shared" si="25"/>
        <v>0</v>
      </c>
      <c r="N139" s="316"/>
      <c r="O139" s="160">
        <f t="shared" si="26"/>
        <v>0</v>
      </c>
      <c r="P139" s="160">
        <f t="shared" si="27"/>
        <v>0</v>
      </c>
    </row>
    <row r="140" spans="2:16">
      <c r="B140" t="str">
        <f t="shared" si="12"/>
        <v/>
      </c>
      <c r="C140" s="155">
        <f>IF(D94="","-",+C139+1)</f>
        <v>2057</v>
      </c>
      <c r="D140" s="156">
        <f>IF(F139+SUM(E$100:E139)=D$93,F139,D$93-SUM(E$100:E139))</f>
        <v>0</v>
      </c>
      <c r="E140" s="162">
        <f t="shared" si="28"/>
        <v>0</v>
      </c>
      <c r="F140" s="161">
        <f t="shared" si="22"/>
        <v>0</v>
      </c>
      <c r="G140" s="161">
        <f t="shared" si="23"/>
        <v>0</v>
      </c>
      <c r="H140" s="314">
        <f t="shared" si="20"/>
        <v>0</v>
      </c>
      <c r="I140" s="323">
        <f t="shared" si="21"/>
        <v>0</v>
      </c>
      <c r="J140" s="160">
        <f t="shared" si="24"/>
        <v>0</v>
      </c>
      <c r="K140" s="160"/>
      <c r="L140" s="316"/>
      <c r="M140" s="160">
        <f t="shared" si="25"/>
        <v>0</v>
      </c>
      <c r="N140" s="316"/>
      <c r="O140" s="160">
        <f t="shared" si="26"/>
        <v>0</v>
      </c>
      <c r="P140" s="160">
        <f t="shared" si="27"/>
        <v>0</v>
      </c>
    </row>
    <row r="141" spans="2:16">
      <c r="B141" t="str">
        <f t="shared" si="12"/>
        <v/>
      </c>
      <c r="C141" s="155">
        <f>IF(D94="","-",+C140+1)</f>
        <v>2058</v>
      </c>
      <c r="D141" s="156">
        <f>IF(F140+SUM(E$100:E140)=D$93,F140,D$93-SUM(E$100:E140))</f>
        <v>0</v>
      </c>
      <c r="E141" s="162">
        <f t="shared" si="28"/>
        <v>0</v>
      </c>
      <c r="F141" s="161">
        <f t="shared" si="22"/>
        <v>0</v>
      </c>
      <c r="G141" s="161">
        <f t="shared" si="23"/>
        <v>0</v>
      </c>
      <c r="H141" s="314">
        <f t="shared" si="20"/>
        <v>0</v>
      </c>
      <c r="I141" s="323">
        <f t="shared" si="21"/>
        <v>0</v>
      </c>
      <c r="J141" s="160">
        <f t="shared" si="24"/>
        <v>0</v>
      </c>
      <c r="K141" s="160"/>
      <c r="L141" s="316"/>
      <c r="M141" s="160">
        <f t="shared" si="25"/>
        <v>0</v>
      </c>
      <c r="N141" s="316"/>
      <c r="O141" s="160">
        <f t="shared" si="26"/>
        <v>0</v>
      </c>
      <c r="P141" s="160">
        <f t="shared" si="27"/>
        <v>0</v>
      </c>
    </row>
    <row r="142" spans="2:16">
      <c r="B142" t="str">
        <f t="shared" si="12"/>
        <v/>
      </c>
      <c r="C142" s="155">
        <f>IF(D94="","-",+C141+1)</f>
        <v>2059</v>
      </c>
      <c r="D142" s="156">
        <f>IF(F141+SUM(E$100:E141)=D$93,F141,D$93-SUM(E$100:E141))</f>
        <v>0</v>
      </c>
      <c r="E142" s="162">
        <f t="shared" si="28"/>
        <v>0</v>
      </c>
      <c r="F142" s="161">
        <f t="shared" si="22"/>
        <v>0</v>
      </c>
      <c r="G142" s="161">
        <f t="shared" si="23"/>
        <v>0</v>
      </c>
      <c r="H142" s="314">
        <f t="shared" si="20"/>
        <v>0</v>
      </c>
      <c r="I142" s="323">
        <f t="shared" si="21"/>
        <v>0</v>
      </c>
      <c r="J142" s="160">
        <f t="shared" si="24"/>
        <v>0</v>
      </c>
      <c r="K142" s="160"/>
      <c r="L142" s="316"/>
      <c r="M142" s="160">
        <f t="shared" si="25"/>
        <v>0</v>
      </c>
      <c r="N142" s="316"/>
      <c r="O142" s="160">
        <f t="shared" si="26"/>
        <v>0</v>
      </c>
      <c r="P142" s="160">
        <f t="shared" si="27"/>
        <v>0</v>
      </c>
    </row>
    <row r="143" spans="2:16">
      <c r="B143" t="str">
        <f t="shared" si="12"/>
        <v/>
      </c>
      <c r="C143" s="155">
        <f>IF(D94="","-",+C142+1)</f>
        <v>2060</v>
      </c>
      <c r="D143" s="156">
        <f>IF(F142+SUM(E$100:E142)=D$93,F142,D$93-SUM(E$100:E142))</f>
        <v>0</v>
      </c>
      <c r="E143" s="162">
        <f t="shared" si="28"/>
        <v>0</v>
      </c>
      <c r="F143" s="161">
        <f t="shared" si="22"/>
        <v>0</v>
      </c>
      <c r="G143" s="161">
        <f t="shared" si="23"/>
        <v>0</v>
      </c>
      <c r="H143" s="314">
        <f t="shared" si="20"/>
        <v>0</v>
      </c>
      <c r="I143" s="323">
        <f t="shared" si="21"/>
        <v>0</v>
      </c>
      <c r="J143" s="160">
        <f t="shared" si="24"/>
        <v>0</v>
      </c>
      <c r="K143" s="160"/>
      <c r="L143" s="316"/>
      <c r="M143" s="160">
        <f t="shared" si="25"/>
        <v>0</v>
      </c>
      <c r="N143" s="316"/>
      <c r="O143" s="160">
        <f t="shared" si="26"/>
        <v>0</v>
      </c>
      <c r="P143" s="160">
        <f t="shared" si="27"/>
        <v>0</v>
      </c>
    </row>
    <row r="144" spans="2:16">
      <c r="B144" t="str">
        <f t="shared" si="12"/>
        <v/>
      </c>
      <c r="C144" s="155">
        <f>IF(D94="","-",+C143+1)</f>
        <v>2061</v>
      </c>
      <c r="D144" s="156">
        <f>IF(F143+SUM(E$100:E143)=D$93,F143,D$93-SUM(E$100:E143))</f>
        <v>0</v>
      </c>
      <c r="E144" s="162">
        <f t="shared" si="28"/>
        <v>0</v>
      </c>
      <c r="F144" s="161">
        <f t="shared" si="22"/>
        <v>0</v>
      </c>
      <c r="G144" s="161">
        <f t="shared" si="23"/>
        <v>0</v>
      </c>
      <c r="H144" s="314">
        <f t="shared" si="20"/>
        <v>0</v>
      </c>
      <c r="I144" s="323">
        <f t="shared" si="21"/>
        <v>0</v>
      </c>
      <c r="J144" s="160">
        <f t="shared" si="24"/>
        <v>0</v>
      </c>
      <c r="K144" s="160"/>
      <c r="L144" s="316"/>
      <c r="M144" s="160">
        <f t="shared" si="25"/>
        <v>0</v>
      </c>
      <c r="N144" s="316"/>
      <c r="O144" s="160">
        <f t="shared" si="26"/>
        <v>0</v>
      </c>
      <c r="P144" s="160">
        <f t="shared" si="27"/>
        <v>0</v>
      </c>
    </row>
    <row r="145" spans="2:16">
      <c r="B145" t="str">
        <f t="shared" si="12"/>
        <v/>
      </c>
      <c r="C145" s="155">
        <f>IF(D94="","-",+C144+1)</f>
        <v>2062</v>
      </c>
      <c r="D145" s="156">
        <f>IF(F144+SUM(E$100:E144)=D$93,F144,D$93-SUM(E$100:E144))</f>
        <v>0</v>
      </c>
      <c r="E145" s="162">
        <f t="shared" si="28"/>
        <v>0</v>
      </c>
      <c r="F145" s="161">
        <f t="shared" si="22"/>
        <v>0</v>
      </c>
      <c r="G145" s="161">
        <f t="shared" si="23"/>
        <v>0</v>
      </c>
      <c r="H145" s="314">
        <f t="shared" si="20"/>
        <v>0</v>
      </c>
      <c r="I145" s="323">
        <f t="shared" si="21"/>
        <v>0</v>
      </c>
      <c r="J145" s="160">
        <f t="shared" si="24"/>
        <v>0</v>
      </c>
      <c r="K145" s="160"/>
      <c r="L145" s="316"/>
      <c r="M145" s="160">
        <f t="shared" si="25"/>
        <v>0</v>
      </c>
      <c r="N145" s="316"/>
      <c r="O145" s="160">
        <f t="shared" si="26"/>
        <v>0</v>
      </c>
      <c r="P145" s="160">
        <f t="shared" si="27"/>
        <v>0</v>
      </c>
    </row>
    <row r="146" spans="2:16">
      <c r="B146" t="str">
        <f t="shared" si="12"/>
        <v/>
      </c>
      <c r="C146" s="155">
        <f>IF(D94="","-",+C145+1)</f>
        <v>2063</v>
      </c>
      <c r="D146" s="156">
        <f>IF(F145+SUM(E$100:E145)=D$93,F145,D$93-SUM(E$100:E145))</f>
        <v>0</v>
      </c>
      <c r="E146" s="162">
        <f t="shared" si="28"/>
        <v>0</v>
      </c>
      <c r="F146" s="161">
        <f t="shared" si="22"/>
        <v>0</v>
      </c>
      <c r="G146" s="161">
        <f t="shared" si="23"/>
        <v>0</v>
      </c>
      <c r="H146" s="314">
        <f t="shared" si="20"/>
        <v>0</v>
      </c>
      <c r="I146" s="323">
        <f t="shared" si="21"/>
        <v>0</v>
      </c>
      <c r="J146" s="160">
        <f t="shared" si="24"/>
        <v>0</v>
      </c>
      <c r="K146" s="160"/>
      <c r="L146" s="316"/>
      <c r="M146" s="160">
        <f t="shared" si="25"/>
        <v>0</v>
      </c>
      <c r="N146" s="316"/>
      <c r="O146" s="160">
        <f t="shared" si="26"/>
        <v>0</v>
      </c>
      <c r="P146" s="160">
        <f t="shared" si="27"/>
        <v>0</v>
      </c>
    </row>
    <row r="147" spans="2:16">
      <c r="B147" t="str">
        <f t="shared" si="12"/>
        <v/>
      </c>
      <c r="C147" s="155">
        <f>IF(D94="","-",+C146+1)</f>
        <v>2064</v>
      </c>
      <c r="D147" s="156">
        <f>IF(F146+SUM(E$100:E146)=D$93,F146,D$93-SUM(E$100:E146))</f>
        <v>0</v>
      </c>
      <c r="E147" s="162">
        <f t="shared" si="28"/>
        <v>0</v>
      </c>
      <c r="F147" s="161">
        <f t="shared" si="22"/>
        <v>0</v>
      </c>
      <c r="G147" s="161">
        <f t="shared" si="23"/>
        <v>0</v>
      </c>
      <c r="H147" s="314">
        <f t="shared" si="20"/>
        <v>0</v>
      </c>
      <c r="I147" s="323">
        <f t="shared" si="21"/>
        <v>0</v>
      </c>
      <c r="J147" s="160">
        <f t="shared" si="24"/>
        <v>0</v>
      </c>
      <c r="K147" s="160"/>
      <c r="L147" s="316"/>
      <c r="M147" s="160">
        <f t="shared" si="25"/>
        <v>0</v>
      </c>
      <c r="N147" s="316"/>
      <c r="O147" s="160">
        <f t="shared" si="26"/>
        <v>0</v>
      </c>
      <c r="P147" s="160">
        <f t="shared" si="27"/>
        <v>0</v>
      </c>
    </row>
    <row r="148" spans="2:16">
      <c r="B148" t="str">
        <f t="shared" si="12"/>
        <v/>
      </c>
      <c r="C148" s="155">
        <f>IF(D94="","-",+C147+1)</f>
        <v>2065</v>
      </c>
      <c r="D148" s="156">
        <f>IF(F147+SUM(E$100:E147)=D$93,F147,D$93-SUM(E$100:E147))</f>
        <v>0</v>
      </c>
      <c r="E148" s="162">
        <f t="shared" si="28"/>
        <v>0</v>
      </c>
      <c r="F148" s="161">
        <f t="shared" si="22"/>
        <v>0</v>
      </c>
      <c r="G148" s="161">
        <f t="shared" si="23"/>
        <v>0</v>
      </c>
      <c r="H148" s="314">
        <f t="shared" si="20"/>
        <v>0</v>
      </c>
      <c r="I148" s="323">
        <f t="shared" si="21"/>
        <v>0</v>
      </c>
      <c r="J148" s="160">
        <f t="shared" si="24"/>
        <v>0</v>
      </c>
      <c r="K148" s="160"/>
      <c r="L148" s="316"/>
      <c r="M148" s="160">
        <f t="shared" si="25"/>
        <v>0</v>
      </c>
      <c r="N148" s="316"/>
      <c r="O148" s="160">
        <f t="shared" si="26"/>
        <v>0</v>
      </c>
      <c r="P148" s="160">
        <f t="shared" si="27"/>
        <v>0</v>
      </c>
    </row>
    <row r="149" spans="2:16">
      <c r="B149" t="str">
        <f t="shared" si="12"/>
        <v/>
      </c>
      <c r="C149" s="155">
        <f>IF(D94="","-",+C148+1)</f>
        <v>2066</v>
      </c>
      <c r="D149" s="156">
        <f>IF(F148+SUM(E$100:E148)=D$93,F148,D$93-SUM(E$100:E148))</f>
        <v>0</v>
      </c>
      <c r="E149" s="162">
        <f t="shared" si="28"/>
        <v>0</v>
      </c>
      <c r="F149" s="161">
        <f t="shared" si="22"/>
        <v>0</v>
      </c>
      <c r="G149" s="161">
        <f t="shared" si="23"/>
        <v>0</v>
      </c>
      <c r="H149" s="314">
        <f t="shared" si="20"/>
        <v>0</v>
      </c>
      <c r="I149" s="323">
        <f t="shared" si="21"/>
        <v>0</v>
      </c>
      <c r="J149" s="160">
        <f t="shared" si="24"/>
        <v>0</v>
      </c>
      <c r="K149" s="160"/>
      <c r="L149" s="316"/>
      <c r="M149" s="160">
        <f t="shared" si="25"/>
        <v>0</v>
      </c>
      <c r="N149" s="316"/>
      <c r="O149" s="160">
        <f t="shared" si="26"/>
        <v>0</v>
      </c>
      <c r="P149" s="160">
        <f t="shared" si="27"/>
        <v>0</v>
      </c>
    </row>
    <row r="150" spans="2:16">
      <c r="B150" t="str">
        <f t="shared" si="12"/>
        <v/>
      </c>
      <c r="C150" s="155">
        <f>IF(D94="","-",+C149+1)</f>
        <v>2067</v>
      </c>
      <c r="D150" s="156">
        <f>IF(F149+SUM(E$100:E149)=D$93,F149,D$93-SUM(E$100:E149))</f>
        <v>0</v>
      </c>
      <c r="E150" s="162">
        <f t="shared" si="28"/>
        <v>0</v>
      </c>
      <c r="F150" s="161">
        <f t="shared" si="22"/>
        <v>0</v>
      </c>
      <c r="G150" s="161">
        <f t="shared" si="23"/>
        <v>0</v>
      </c>
      <c r="H150" s="314">
        <f t="shared" si="20"/>
        <v>0</v>
      </c>
      <c r="I150" s="323">
        <f t="shared" si="21"/>
        <v>0</v>
      </c>
      <c r="J150" s="160">
        <f t="shared" si="24"/>
        <v>0</v>
      </c>
      <c r="K150" s="160"/>
      <c r="L150" s="316"/>
      <c r="M150" s="160">
        <f t="shared" si="25"/>
        <v>0</v>
      </c>
      <c r="N150" s="316"/>
      <c r="O150" s="160">
        <f t="shared" si="26"/>
        <v>0</v>
      </c>
      <c r="P150" s="160">
        <f t="shared" si="27"/>
        <v>0</v>
      </c>
    </row>
    <row r="151" spans="2:16">
      <c r="B151" t="str">
        <f t="shared" si="12"/>
        <v/>
      </c>
      <c r="C151" s="155">
        <f>IF(D94="","-",+C150+1)</f>
        <v>2068</v>
      </c>
      <c r="D151" s="156">
        <f>IF(F150+SUM(E$100:E150)=D$93,F150,D$93-SUM(E$100:E150))</f>
        <v>0</v>
      </c>
      <c r="E151" s="162">
        <f t="shared" si="28"/>
        <v>0</v>
      </c>
      <c r="F151" s="161">
        <f t="shared" si="22"/>
        <v>0</v>
      </c>
      <c r="G151" s="161">
        <f t="shared" si="23"/>
        <v>0</v>
      </c>
      <c r="H151" s="314">
        <f t="shared" si="20"/>
        <v>0</v>
      </c>
      <c r="I151" s="323">
        <f t="shared" si="21"/>
        <v>0</v>
      </c>
      <c r="J151" s="160">
        <f t="shared" si="24"/>
        <v>0</v>
      </c>
      <c r="K151" s="160"/>
      <c r="L151" s="316"/>
      <c r="M151" s="160">
        <f t="shared" si="25"/>
        <v>0</v>
      </c>
      <c r="N151" s="316"/>
      <c r="O151" s="160">
        <f t="shared" si="26"/>
        <v>0</v>
      </c>
      <c r="P151" s="160">
        <f t="shared" si="27"/>
        <v>0</v>
      </c>
    </row>
    <row r="152" spans="2:16">
      <c r="B152" t="str">
        <f t="shared" si="12"/>
        <v/>
      </c>
      <c r="C152" s="155">
        <f>IF(D94="","-",+C151+1)</f>
        <v>2069</v>
      </c>
      <c r="D152" s="156">
        <f>IF(F151+SUM(E$100:E151)=D$93,F151,D$93-SUM(E$100:E151))</f>
        <v>0</v>
      </c>
      <c r="E152" s="162">
        <f t="shared" si="28"/>
        <v>0</v>
      </c>
      <c r="F152" s="161">
        <f t="shared" si="22"/>
        <v>0</v>
      </c>
      <c r="G152" s="161">
        <f t="shared" si="23"/>
        <v>0</v>
      </c>
      <c r="H152" s="314">
        <f t="shared" si="20"/>
        <v>0</v>
      </c>
      <c r="I152" s="323">
        <f t="shared" si="21"/>
        <v>0</v>
      </c>
      <c r="J152" s="160">
        <f t="shared" si="24"/>
        <v>0</v>
      </c>
      <c r="K152" s="160"/>
      <c r="L152" s="316"/>
      <c r="M152" s="160">
        <f t="shared" si="25"/>
        <v>0</v>
      </c>
      <c r="N152" s="316"/>
      <c r="O152" s="160">
        <f t="shared" si="26"/>
        <v>0</v>
      </c>
      <c r="P152" s="160">
        <f t="shared" si="27"/>
        <v>0</v>
      </c>
    </row>
    <row r="153" spans="2:16">
      <c r="B153" t="str">
        <f t="shared" si="12"/>
        <v/>
      </c>
      <c r="C153" s="155">
        <f>IF(D94="","-",+C152+1)</f>
        <v>2070</v>
      </c>
      <c r="D153" s="156">
        <f>IF(F152+SUM(E$100:E152)=D$93,F152,D$93-SUM(E$100:E152))</f>
        <v>0</v>
      </c>
      <c r="E153" s="162">
        <f t="shared" si="28"/>
        <v>0</v>
      </c>
      <c r="F153" s="161">
        <f t="shared" si="22"/>
        <v>0</v>
      </c>
      <c r="G153" s="161">
        <f t="shared" si="23"/>
        <v>0</v>
      </c>
      <c r="H153" s="314">
        <f t="shared" si="20"/>
        <v>0</v>
      </c>
      <c r="I153" s="323">
        <f t="shared" si="21"/>
        <v>0</v>
      </c>
      <c r="J153" s="160">
        <f t="shared" si="24"/>
        <v>0</v>
      </c>
      <c r="K153" s="160"/>
      <c r="L153" s="316"/>
      <c r="M153" s="160">
        <f t="shared" si="25"/>
        <v>0</v>
      </c>
      <c r="N153" s="316"/>
      <c r="O153" s="160">
        <f t="shared" si="26"/>
        <v>0</v>
      </c>
      <c r="P153" s="160">
        <f t="shared" si="27"/>
        <v>0</v>
      </c>
    </row>
    <row r="154" spans="2:16">
      <c r="B154" t="str">
        <f t="shared" si="12"/>
        <v/>
      </c>
      <c r="C154" s="155">
        <f>IF(D94="","-",+C153+1)</f>
        <v>2071</v>
      </c>
      <c r="D154" s="156">
        <f>IF(F153+SUM(E$100:E153)=D$93,F153,D$93-SUM(E$100:E153))</f>
        <v>0</v>
      </c>
      <c r="E154" s="162">
        <f t="shared" si="28"/>
        <v>0</v>
      </c>
      <c r="F154" s="161">
        <f t="shared" si="22"/>
        <v>0</v>
      </c>
      <c r="G154" s="161">
        <f t="shared" si="23"/>
        <v>0</v>
      </c>
      <c r="H154" s="314">
        <f t="shared" si="20"/>
        <v>0</v>
      </c>
      <c r="I154" s="323">
        <f t="shared" si="21"/>
        <v>0</v>
      </c>
      <c r="J154" s="160">
        <f t="shared" si="24"/>
        <v>0</v>
      </c>
      <c r="K154" s="160"/>
      <c r="L154" s="316"/>
      <c r="M154" s="160">
        <f t="shared" si="25"/>
        <v>0</v>
      </c>
      <c r="N154" s="316"/>
      <c r="O154" s="160">
        <f t="shared" si="26"/>
        <v>0</v>
      </c>
      <c r="P154" s="160">
        <f t="shared" si="27"/>
        <v>0</v>
      </c>
    </row>
    <row r="155" spans="2:16" ht="13.5" thickBot="1">
      <c r="B155" t="str">
        <f t="shared" si="12"/>
        <v/>
      </c>
      <c r="C155" s="166">
        <f>IF(D94="","-",+C154+1)</f>
        <v>2072</v>
      </c>
      <c r="D155" s="214">
        <f>IF(F154+SUM(E$100:E154)=D$93,F154,D$93-SUM(E$100:E154))</f>
        <v>0</v>
      </c>
      <c r="E155" s="168">
        <f t="shared" si="28"/>
        <v>0</v>
      </c>
      <c r="F155" s="167">
        <f t="shared" si="22"/>
        <v>0</v>
      </c>
      <c r="G155" s="167">
        <f t="shared" si="23"/>
        <v>0</v>
      </c>
      <c r="H155" s="324">
        <f t="shared" si="20"/>
        <v>0</v>
      </c>
      <c r="I155" s="325">
        <f t="shared" si="21"/>
        <v>0</v>
      </c>
      <c r="J155" s="171">
        <f t="shared" si="24"/>
        <v>0</v>
      </c>
      <c r="K155" s="160"/>
      <c r="L155" s="317"/>
      <c r="M155" s="171">
        <f t="shared" si="25"/>
        <v>0</v>
      </c>
      <c r="N155" s="317"/>
      <c r="O155" s="171">
        <f t="shared" si="26"/>
        <v>0</v>
      </c>
      <c r="P155" s="171">
        <f t="shared" si="27"/>
        <v>0</v>
      </c>
    </row>
    <row r="156" spans="2:16">
      <c r="C156" s="156" t="s">
        <v>75</v>
      </c>
      <c r="D156" s="112"/>
      <c r="E156" s="112">
        <f>SUM(E100:E155)</f>
        <v>9557910</v>
      </c>
      <c r="F156" s="112"/>
      <c r="G156" s="112"/>
      <c r="H156" s="112">
        <f>SUM(H100:H155)</f>
        <v>27900923.061335091</v>
      </c>
      <c r="I156" s="112">
        <f>SUM(I100:I155)</f>
        <v>27900923.061335091</v>
      </c>
      <c r="J156" s="112">
        <f>SUM(J100:J155)</f>
        <v>0</v>
      </c>
      <c r="K156" s="112"/>
      <c r="L156" s="112"/>
      <c r="M156" s="112"/>
      <c r="N156" s="112"/>
      <c r="O156" s="112"/>
      <c r="P156" s="1"/>
    </row>
    <row r="157" spans="2:16">
      <c r="C157" t="s">
        <v>90</v>
      </c>
      <c r="D157" s="2"/>
      <c r="E157" s="1"/>
      <c r="F157" s="1"/>
      <c r="G157" s="1"/>
      <c r="H157" s="1"/>
      <c r="I157" s="3"/>
      <c r="J157" s="3"/>
      <c r="K157" s="112"/>
      <c r="L157" s="3"/>
      <c r="M157" s="3"/>
      <c r="N157" s="3"/>
      <c r="O157" s="3"/>
      <c r="P157" s="1"/>
    </row>
    <row r="158" spans="2:16">
      <c r="C158" s="215"/>
      <c r="D158" s="2"/>
      <c r="E158" s="1"/>
      <c r="F158" s="1"/>
      <c r="G158" s="1"/>
      <c r="H158" s="1"/>
      <c r="I158" s="3"/>
      <c r="J158" s="3"/>
      <c r="K158" s="112"/>
      <c r="L158" s="3"/>
      <c r="M158" s="3"/>
      <c r="N158" s="3"/>
      <c r="O158" s="3"/>
      <c r="P158" s="1"/>
    </row>
    <row r="159" spans="2:16">
      <c r="C159" s="245" t="s">
        <v>130</v>
      </c>
      <c r="D159" s="2"/>
      <c r="E159" s="1"/>
      <c r="F159" s="1"/>
      <c r="G159" s="1"/>
      <c r="H159" s="1"/>
      <c r="I159" s="3"/>
      <c r="J159" s="3"/>
      <c r="K159" s="112"/>
      <c r="L159" s="3"/>
      <c r="M159" s="3"/>
      <c r="N159" s="3"/>
      <c r="O159" s="3"/>
      <c r="P159" s="1"/>
    </row>
    <row r="160" spans="2:16">
      <c r="C160" s="124" t="s">
        <v>76</v>
      </c>
      <c r="D160" s="156"/>
      <c r="E160" s="156"/>
      <c r="F160" s="156"/>
      <c r="G160" s="156"/>
      <c r="H160" s="112"/>
      <c r="I160" s="112"/>
      <c r="J160" s="173"/>
      <c r="K160" s="173"/>
      <c r="L160" s="173"/>
      <c r="M160" s="173"/>
      <c r="N160" s="173"/>
      <c r="O160" s="173"/>
      <c r="P160" s="1"/>
    </row>
    <row r="161" spans="3:16">
      <c r="C161" s="216" t="s">
        <v>77</v>
      </c>
      <c r="D161" s="156"/>
      <c r="E161" s="156"/>
      <c r="F161" s="156"/>
      <c r="G161" s="156"/>
      <c r="H161" s="112"/>
      <c r="I161" s="112"/>
      <c r="J161" s="173"/>
      <c r="K161" s="173"/>
      <c r="L161" s="173"/>
      <c r="M161" s="173"/>
      <c r="N161" s="173"/>
      <c r="O161" s="173"/>
      <c r="P161" s="1"/>
    </row>
    <row r="162" spans="3:16">
      <c r="C162" s="216"/>
      <c r="D162" s="156"/>
      <c r="E162" s="156"/>
      <c r="F162" s="156"/>
      <c r="G162" s="156"/>
      <c r="H162" s="112"/>
      <c r="I162" s="112"/>
      <c r="J162" s="173"/>
      <c r="K162" s="173"/>
      <c r="L162" s="173"/>
      <c r="M162" s="173"/>
      <c r="N162" s="173"/>
      <c r="O162" s="173"/>
      <c r="P162" s="1"/>
    </row>
    <row r="163" spans="3:16" ht="18">
      <c r="C163" s="216"/>
      <c r="D163" s="156"/>
      <c r="E163" s="156"/>
      <c r="F163" s="156"/>
      <c r="G163" s="156"/>
      <c r="H163" s="112"/>
      <c r="I163" s="112"/>
      <c r="J163" s="173"/>
      <c r="K163" s="173"/>
      <c r="L163" s="173"/>
      <c r="M163" s="173"/>
      <c r="N163" s="173"/>
      <c r="P163" s="242"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U133"/>
  <sheetViews>
    <sheetView zoomScale="80" zoomScaleNormal="80" zoomScaleSheetLayoutView="90" workbookViewId="0">
      <selection activeCell="M19" sqref="M19"/>
    </sheetView>
  </sheetViews>
  <sheetFormatPr defaultRowHeight="12.75" customHeight="1"/>
  <cols>
    <col min="1" max="1" width="8.140625" customWidth="1"/>
    <col min="2" max="2" width="6.7109375" customWidth="1"/>
    <col min="3" max="3" width="23.28515625" customWidth="1"/>
    <col min="4" max="8" width="17.7109375" customWidth="1"/>
    <col min="9" max="9" width="16.140625" customWidth="1"/>
    <col min="10" max="10" width="2.140625" customWidth="1"/>
    <col min="11" max="11" width="17.7109375" customWidth="1"/>
    <col min="12" max="12" width="16.140625" customWidth="1"/>
    <col min="13" max="13" width="17.7109375" customWidth="1"/>
    <col min="14" max="14" width="16.7109375" customWidth="1"/>
    <col min="15" max="15" width="22.42578125" customWidth="1"/>
    <col min="16" max="16" width="3.5703125" bestFit="1" customWidth="1"/>
    <col min="17" max="17" width="4.7109375" customWidth="1"/>
    <col min="18" max="18" width="15.42578125" customWidth="1"/>
    <col min="19" max="19" width="81.85546875" bestFit="1" customWidth="1"/>
    <col min="23" max="23" width="9.140625" customWidth="1"/>
  </cols>
  <sheetData>
    <row r="1" spans="1:21" ht="18">
      <c r="A1" s="510" t="s">
        <v>109</v>
      </c>
      <c r="B1" s="511"/>
      <c r="C1" s="511"/>
      <c r="D1" s="511"/>
      <c r="E1" s="511"/>
      <c r="F1" s="511"/>
      <c r="G1" s="511"/>
      <c r="H1" s="511"/>
      <c r="I1" s="511"/>
      <c r="J1" s="511"/>
      <c r="U1">
        <v>2017</v>
      </c>
    </row>
    <row r="2" spans="1:21" ht="18">
      <c r="A2" s="513" t="str">
        <f>L19&amp;" Cost of Service Formula Rate Projected on "&amp;L19-1&amp;" FF1 Balances"</f>
        <v>2018 Cost of Service Formula Rate Projected on 2017 FF1 Balances</v>
      </c>
      <c r="B2" s="513"/>
      <c r="C2" s="513"/>
      <c r="D2" s="513"/>
      <c r="E2" s="513"/>
      <c r="F2" s="513"/>
      <c r="G2" s="513"/>
      <c r="H2" s="513"/>
      <c r="I2" s="513"/>
      <c r="J2" s="513"/>
    </row>
    <row r="3" spans="1:21" ht="18">
      <c r="A3" s="512" t="s">
        <v>124</v>
      </c>
      <c r="B3" s="513"/>
      <c r="C3" s="513"/>
      <c r="D3" s="513"/>
      <c r="E3" s="513"/>
      <c r="F3" s="513"/>
      <c r="G3" s="513"/>
      <c r="H3" s="513"/>
      <c r="I3" s="513"/>
      <c r="J3" s="513"/>
      <c r="Q3" s="233" t="s">
        <v>110</v>
      </c>
    </row>
    <row r="4" spans="1:21" ht="18">
      <c r="A4" s="513" t="str">
        <f>"Based on a Carrying Charge Derived from ""Historic"" "&amp;L19-1&amp;" Data"</f>
        <v>Based on a Carrying Charge Derived from "Historic" 2017 Data</v>
      </c>
      <c r="B4" s="513"/>
      <c r="C4" s="513"/>
      <c r="D4" s="513"/>
      <c r="E4" s="513"/>
      <c r="F4" s="513"/>
      <c r="G4" s="513"/>
      <c r="H4" s="513"/>
      <c r="I4" s="513"/>
      <c r="J4" s="513"/>
      <c r="K4" s="513"/>
    </row>
    <row r="5" spans="1:21" ht="18">
      <c r="A5" s="514" t="s">
        <v>188</v>
      </c>
      <c r="B5" s="514"/>
      <c r="C5" s="514"/>
      <c r="D5" s="514"/>
      <c r="E5" s="514"/>
      <c r="F5" s="514"/>
      <c r="G5" s="514"/>
      <c r="H5" s="514"/>
      <c r="I5" s="514"/>
      <c r="J5" s="514"/>
    </row>
    <row r="6" spans="1:21" ht="18">
      <c r="A6" s="259"/>
      <c r="B6" s="259"/>
      <c r="C6" s="259"/>
      <c r="D6" s="259"/>
      <c r="E6" s="259"/>
      <c r="F6" s="259"/>
      <c r="G6" s="259"/>
      <c r="H6" s="259"/>
      <c r="I6" s="259"/>
      <c r="J6" s="259"/>
    </row>
    <row r="7" spans="1:21">
      <c r="D7" s="9"/>
      <c r="H7" s="10"/>
      <c r="J7" s="7"/>
    </row>
    <row r="8" spans="1:21" ht="33.75" customHeight="1">
      <c r="B8" s="5" t="s">
        <v>0</v>
      </c>
      <c r="C8" s="507" t="str">
        <f>"Calculate Return and Income Taxes with "&amp;F13&amp;" basis point ROE increase for Projects Qualified for Incentive."</f>
        <v>Calculate Return and Income Taxes with 0 basis point ROE increase for Projects Qualified for Incentive.</v>
      </c>
      <c r="D8" s="508"/>
      <c r="E8" s="508"/>
      <c r="F8" s="508"/>
      <c r="G8" s="508"/>
      <c r="H8" s="508"/>
      <c r="J8" s="7"/>
      <c r="R8" s="327"/>
    </row>
    <row r="9" spans="1:21">
      <c r="D9" s="9"/>
      <c r="H9" s="10"/>
      <c r="J9" s="7"/>
    </row>
    <row r="10" spans="1:21" ht="15.75">
      <c r="C10" s="8" t="str">
        <f>"A.   Determine 'R' with hypothetical "&amp;F13&amp;" basis point increase in ROE for Identified Projects"</f>
        <v>A.   Determine 'R' with hypothetical 0 basis point increase in ROE for Identified Projects</v>
      </c>
      <c r="D10" s="9"/>
      <c r="H10" s="10"/>
      <c r="J10" s="7"/>
    </row>
    <row r="11" spans="1:21">
      <c r="D11" s="9"/>
      <c r="H11" s="10"/>
      <c r="J11" s="7"/>
    </row>
    <row r="12" spans="1:21">
      <c r="C12" s="11" t="str">
        <f>S101</f>
        <v xml:space="preserve">   ROE w/o incentives  (TCOS, ln 143)</v>
      </c>
      <c r="D12" s="9"/>
      <c r="E12" s="12"/>
      <c r="F12" s="13">
        <f>+R101</f>
        <v>0.112</v>
      </c>
      <c r="G12" s="14"/>
      <c r="H12" s="15"/>
      <c r="I12" s="16"/>
      <c r="J12" s="17"/>
      <c r="K12" s="16"/>
      <c r="L12" s="16"/>
      <c r="M12" s="16"/>
      <c r="N12" s="16"/>
      <c r="O12" s="12"/>
      <c r="P12" s="16"/>
      <c r="Q12" s="1"/>
      <c r="U12" s="19"/>
    </row>
    <row r="13" spans="1:21">
      <c r="C13" s="11" t="s">
        <v>1</v>
      </c>
      <c r="D13" s="9"/>
      <c r="E13" s="12"/>
      <c r="F13" s="387">
        <f>+R102</f>
        <v>0</v>
      </c>
      <c r="G13" t="s">
        <v>133</v>
      </c>
      <c r="K13" s="16"/>
      <c r="L13" s="16"/>
      <c r="M13" s="16"/>
      <c r="N13" s="16"/>
      <c r="O13" s="12"/>
      <c r="P13" s="16"/>
      <c r="Q13" s="1"/>
      <c r="U13" s="19"/>
    </row>
    <row r="14" spans="1:21" ht="13.5" thickBot="1">
      <c r="C14" s="11" t="str">
        <f>"   ROE with additional "&amp;F13&amp;" basis point incentive"</f>
        <v xml:space="preserve">   ROE with additional 0 basis point incentive</v>
      </c>
      <c r="D14" s="12"/>
      <c r="E14" s="12"/>
      <c r="F14" s="20">
        <f>IF((F12+(F13/10000)&gt;0.1245),"ERROR",F12+(F13/10000))</f>
        <v>0.112</v>
      </c>
      <c r="G14" s="21" t="s">
        <v>2</v>
      </c>
      <c r="H14" s="16"/>
      <c r="I14" s="16"/>
      <c r="J14" s="17"/>
      <c r="K14" s="16"/>
      <c r="L14" s="16"/>
      <c r="M14" s="16"/>
      <c r="N14" s="16"/>
      <c r="O14" s="12"/>
      <c r="P14" s="16"/>
      <c r="Q14" s="1"/>
      <c r="U14" s="23"/>
    </row>
    <row r="15" spans="1:21">
      <c r="C15" s="11" t="s">
        <v>3</v>
      </c>
      <c r="D15" s="9"/>
      <c r="E15" s="12"/>
      <c r="F15" s="20"/>
      <c r="G15" s="12"/>
      <c r="H15" s="16"/>
      <c r="I15" s="16"/>
      <c r="J15" s="17"/>
      <c r="K15" s="501" t="s">
        <v>4</v>
      </c>
      <c r="L15" s="502"/>
      <c r="M15" s="502"/>
      <c r="N15" s="502"/>
      <c r="O15" s="503"/>
      <c r="P15" s="16"/>
      <c r="Q15" s="1"/>
      <c r="U15" s="23"/>
    </row>
    <row r="16" spans="1:21">
      <c r="C16" s="17"/>
      <c r="D16" s="24" t="s">
        <v>5</v>
      </c>
      <c r="E16" s="24" t="s">
        <v>6</v>
      </c>
      <c r="F16" s="25" t="s">
        <v>7</v>
      </c>
      <c r="G16" s="12"/>
      <c r="H16" s="16"/>
      <c r="I16" s="16"/>
      <c r="J16" s="17"/>
      <c r="K16" s="504"/>
      <c r="L16" s="505"/>
      <c r="M16" s="505"/>
      <c r="N16" s="505"/>
      <c r="O16" s="506"/>
      <c r="P16" s="16"/>
      <c r="Q16" s="1"/>
    </row>
    <row r="17" spans="3:21">
      <c r="C17" s="26" t="s">
        <v>8</v>
      </c>
      <c r="D17" s="27">
        <f>+R103</f>
        <v>0.50222415357443884</v>
      </c>
      <c r="E17" s="439">
        <f>+R104</f>
        <v>4.0794729780917298E-2</v>
      </c>
      <c r="F17" s="440">
        <f>E17*D17</f>
        <v>2.0488098634519142E-2</v>
      </c>
      <c r="G17" s="12"/>
      <c r="H17" s="16"/>
      <c r="I17" s="29"/>
      <c r="J17" s="30"/>
      <c r="K17" s="31"/>
      <c r="L17" s="32"/>
      <c r="M17" s="17" t="s">
        <v>9</v>
      </c>
      <c r="N17" s="17" t="s">
        <v>10</v>
      </c>
      <c r="O17" s="33" t="s">
        <v>11</v>
      </c>
      <c r="P17" s="16"/>
      <c r="Q17" s="1"/>
      <c r="U17" s="16"/>
    </row>
    <row r="18" spans="3:21">
      <c r="C18" s="26" t="s">
        <v>12</v>
      </c>
      <c r="D18" s="27">
        <f>+R105</f>
        <v>0</v>
      </c>
      <c r="E18" s="439">
        <f>+R106</f>
        <v>0</v>
      </c>
      <c r="F18" s="440">
        <f>E18*D18</f>
        <v>0</v>
      </c>
      <c r="G18" s="35"/>
      <c r="H18" s="35"/>
      <c r="I18" s="36"/>
      <c r="J18" s="37"/>
      <c r="K18" s="38"/>
      <c r="L18" s="7"/>
      <c r="M18" s="7"/>
      <c r="N18" s="7"/>
      <c r="O18" s="39"/>
      <c r="P18" s="35"/>
      <c r="Q18" s="1"/>
      <c r="U18" s="23"/>
    </row>
    <row r="19" spans="3:21" ht="13.5" thickBot="1">
      <c r="C19" s="40" t="s">
        <v>13</v>
      </c>
      <c r="D19" s="27">
        <f>+R107</f>
        <v>0.49777584642556127</v>
      </c>
      <c r="E19" s="439">
        <f>+F14</f>
        <v>0.112</v>
      </c>
      <c r="F19" s="441">
        <f>E19*D19</f>
        <v>5.5750894799662866E-2</v>
      </c>
      <c r="G19" s="35"/>
      <c r="H19" s="35"/>
      <c r="I19" s="20"/>
      <c r="J19" s="37"/>
      <c r="K19" s="41" t="s">
        <v>14</v>
      </c>
      <c r="L19" s="220">
        <f>R100</f>
        <v>2018</v>
      </c>
      <c r="M19" s="43">
        <f>SUM('OKT.001:OKT.xyz - blank'!N5)</f>
        <v>39804485.030792631</v>
      </c>
      <c r="N19" s="43">
        <f>SUM('OKT.001:OKT.xyz - blank'!N6)</f>
        <v>39804485.030792631</v>
      </c>
      <c r="O19" s="44">
        <f>+N19-M19</f>
        <v>0</v>
      </c>
      <c r="P19" s="36"/>
      <c r="Q19" s="1"/>
      <c r="U19" s="23"/>
    </row>
    <row r="20" spans="3:21">
      <c r="C20" s="11"/>
      <c r="D20" s="12"/>
      <c r="E20" s="442" t="s">
        <v>15</v>
      </c>
      <c r="F20" s="440">
        <f>SUM(F17:F19)</f>
        <v>7.6238993434182001E-2</v>
      </c>
      <c r="G20" s="35"/>
      <c r="H20" s="35"/>
      <c r="I20" s="36"/>
      <c r="J20" s="37"/>
      <c r="M20" s="225" t="str">
        <f>IF(M19=SUM('OKT.001:OKT.xyz - blank'!N5),"","ERROR")</f>
        <v/>
      </c>
      <c r="N20" s="225" t="str">
        <f>IF(N19=SUM('OKT.001:OKT.xyz - blank'!N6),"","ERROR")</f>
        <v/>
      </c>
      <c r="O20" s="225" t="str">
        <f>IF(O19=SUM('OKT.001:OKT.xyz - blank'!N7),"","ERROR")</f>
        <v/>
      </c>
      <c r="P20" s="35"/>
      <c r="Q20" s="1"/>
      <c r="U20" s="23"/>
    </row>
    <row r="21" spans="3:21">
      <c r="D21" s="46"/>
      <c r="E21" s="46"/>
      <c r="F21" s="35"/>
      <c r="G21" s="35"/>
      <c r="H21" s="35"/>
      <c r="I21" s="35"/>
      <c r="J21" s="47"/>
      <c r="K21" s="48" t="s">
        <v>16</v>
      </c>
      <c r="P21" s="35"/>
      <c r="Q21" s="1"/>
      <c r="U21" s="23"/>
    </row>
    <row r="22" spans="3:21" ht="15.75">
      <c r="C22" s="8" t="str">
        <f>"B.   Determine Return using 'R' with hypothetical "&amp;F13&amp;" basis point ROE increase for Identified Projects."</f>
        <v>B.   Determine Return using 'R' with hypothetical 0 basis point ROE increase for Identified Projects.</v>
      </c>
      <c r="D22" s="46"/>
      <c r="E22" s="46"/>
      <c r="F22" s="49"/>
      <c r="G22" s="35"/>
      <c r="H22" s="12"/>
      <c r="I22" s="35"/>
      <c r="J22" s="47"/>
      <c r="K22" t="s">
        <v>17</v>
      </c>
      <c r="P22" s="35"/>
      <c r="Q22" s="1"/>
      <c r="U22" s="23"/>
    </row>
    <row r="23" spans="3:21">
      <c r="C23" s="17"/>
      <c r="D23" s="46"/>
      <c r="E23" s="46"/>
      <c r="F23" s="47"/>
      <c r="G23" s="47"/>
      <c r="H23" s="47"/>
      <c r="I23" s="47"/>
      <c r="J23" s="47"/>
      <c r="K23" s="36"/>
      <c r="L23" s="34"/>
      <c r="M23" s="50"/>
      <c r="N23" s="36"/>
      <c r="O23" s="35"/>
      <c r="P23" s="47"/>
      <c r="Q23" s="4"/>
      <c r="U23" s="23"/>
    </row>
    <row r="24" spans="3:21">
      <c r="C24" s="11" t="str">
        <f>+S108</f>
        <v xml:space="preserve">   Rate Base  (TCOS, ln 63)</v>
      </c>
      <c r="D24" s="12"/>
      <c r="E24" s="51">
        <f>+R108</f>
        <v>699396112.08829069</v>
      </c>
      <c r="F24" s="52"/>
      <c r="G24" s="47"/>
      <c r="H24" s="47"/>
      <c r="I24" s="47"/>
      <c r="J24" s="47"/>
      <c r="K24" s="47"/>
      <c r="L24" s="47"/>
      <c r="M24" s="47"/>
      <c r="N24" s="47"/>
      <c r="O24" s="47"/>
      <c r="P24" s="52"/>
      <c r="Q24" s="4"/>
      <c r="U24" s="23"/>
    </row>
    <row r="25" spans="3:21">
      <c r="C25" s="17" t="s">
        <v>18</v>
      </c>
      <c r="D25" s="14"/>
      <c r="E25" s="53">
        <f>F20</f>
        <v>7.6238993434182001E-2</v>
      </c>
      <c r="F25" s="47"/>
      <c r="G25" s="47"/>
      <c r="H25" s="47"/>
      <c r="I25" s="47"/>
      <c r="J25" s="47"/>
      <c r="K25" s="47"/>
      <c r="L25" s="47"/>
      <c r="M25" s="496"/>
      <c r="N25" s="47"/>
      <c r="O25" s="47"/>
      <c r="P25" s="47"/>
      <c r="Q25" s="4"/>
      <c r="U25" s="23"/>
    </row>
    <row r="26" spans="3:21">
      <c r="C26" s="54" t="s">
        <v>19</v>
      </c>
      <c r="D26" s="54"/>
      <c r="E26" s="36">
        <f>E24*E25</f>
        <v>53321255.597391613</v>
      </c>
      <c r="F26" s="47"/>
      <c r="G26" s="47"/>
      <c r="H26" s="47"/>
      <c r="I26" s="37"/>
      <c r="J26" s="37"/>
      <c r="K26" s="37"/>
      <c r="L26" s="37"/>
      <c r="M26" s="37"/>
      <c r="N26" s="37"/>
      <c r="O26" s="47"/>
      <c r="P26" s="47"/>
      <c r="Q26" s="4"/>
      <c r="U26" s="23"/>
    </row>
    <row r="27" spans="3:21">
      <c r="C27" s="55"/>
      <c r="D27" s="16"/>
      <c r="E27" s="16"/>
      <c r="F27" s="47"/>
      <c r="G27" s="47"/>
      <c r="H27" s="47"/>
      <c r="I27" s="37"/>
      <c r="J27" s="37"/>
      <c r="K27" s="37"/>
      <c r="L27" s="37"/>
      <c r="M27" s="37"/>
      <c r="N27" s="37"/>
      <c r="O27" s="47"/>
      <c r="P27" s="47"/>
      <c r="Q27" s="4"/>
      <c r="U27" s="23"/>
    </row>
    <row r="28" spans="3:21" ht="15.75">
      <c r="C28" s="8" t="str">
        <f>"C.   Determine Income Taxes using Return with hypothetical "&amp;F13&amp;" basis point ROE increase for Identified Projects."</f>
        <v>C.   Determine Income Taxes using Return with hypothetical 0 basis point ROE increase for Identified Projects.</v>
      </c>
      <c r="D28" s="56"/>
      <c r="E28" s="56"/>
      <c r="F28" s="57"/>
      <c r="G28" s="57"/>
      <c r="H28" s="57"/>
      <c r="I28" s="58"/>
      <c r="J28" s="58"/>
      <c r="K28" s="58"/>
      <c r="L28" s="58"/>
      <c r="M28" s="58"/>
      <c r="N28" s="58"/>
      <c r="O28" s="57"/>
      <c r="P28" s="57"/>
      <c r="Q28" s="4"/>
      <c r="U28" s="23"/>
    </row>
    <row r="29" spans="3:21">
      <c r="C29" s="11"/>
      <c r="D29" s="16"/>
      <c r="E29" s="16"/>
      <c r="F29" s="47"/>
      <c r="G29" s="47"/>
      <c r="H29" s="47"/>
      <c r="I29" s="37"/>
      <c r="J29" s="37"/>
      <c r="K29" s="37"/>
      <c r="L29" s="37"/>
      <c r="M29" s="37"/>
      <c r="N29" s="37"/>
      <c r="O29" s="47"/>
      <c r="P29" s="47"/>
      <c r="Q29" s="4"/>
      <c r="U29" s="18"/>
    </row>
    <row r="30" spans="3:21">
      <c r="C30" s="17" t="s">
        <v>20</v>
      </c>
      <c r="D30" s="45"/>
      <c r="E30" s="59">
        <f>E26</f>
        <v>53321255.597391613</v>
      </c>
      <c r="F30" s="47"/>
      <c r="G30" s="47"/>
      <c r="H30" s="47"/>
      <c r="I30" s="47"/>
      <c r="J30" s="47"/>
      <c r="K30" s="47"/>
      <c r="L30" s="47"/>
      <c r="M30" s="47"/>
      <c r="N30" s="47"/>
      <c r="O30" s="47"/>
      <c r="P30" s="47"/>
      <c r="Q30" s="4"/>
      <c r="U30" s="23"/>
    </row>
    <row r="31" spans="3:21">
      <c r="C31" s="11" t="str">
        <f>+S109</f>
        <v xml:space="preserve">   Tax Rate  (TCOS, ln 99)</v>
      </c>
      <c r="D31" s="45"/>
      <c r="E31" s="60">
        <f>+R109</f>
        <v>0.38678999999999997</v>
      </c>
      <c r="F31" s="47"/>
      <c r="G31" s="47"/>
      <c r="H31" s="47"/>
      <c r="I31" s="47"/>
      <c r="J31" s="47"/>
      <c r="K31" s="47"/>
      <c r="L31" s="47"/>
      <c r="M31" s="47"/>
      <c r="N31" s="47"/>
      <c r="O31" s="47"/>
      <c r="P31" s="47"/>
      <c r="Q31" s="4"/>
      <c r="R31" s="7"/>
      <c r="S31" s="7"/>
      <c r="T31" s="7"/>
      <c r="U31" s="23"/>
    </row>
    <row r="32" spans="3:21">
      <c r="C32" s="17" t="s">
        <v>21</v>
      </c>
      <c r="D32" s="2"/>
      <c r="E32" s="20">
        <f>IF(F17&gt;0,($E31/(1-$E31))*(1-$F17/$F20),0)</f>
        <v>0.461254586105178</v>
      </c>
      <c r="F32" s="4"/>
      <c r="G32" s="455"/>
      <c r="H32" s="112"/>
      <c r="I32" s="4"/>
      <c r="J32" s="4"/>
      <c r="K32" s="4"/>
      <c r="L32" s="4"/>
      <c r="M32" s="4"/>
      <c r="N32" s="4"/>
      <c r="O32" s="4"/>
      <c r="P32" s="4"/>
      <c r="Q32" s="4"/>
      <c r="R32" s="7"/>
      <c r="S32" s="7"/>
      <c r="T32" s="7"/>
      <c r="U32" s="23"/>
    </row>
    <row r="33" spans="2:21">
      <c r="C33" s="435" t="s">
        <v>22</v>
      </c>
      <c r="D33" s="436"/>
      <c r="E33" s="434">
        <f>E30*E32</f>
        <v>24594673.681183275</v>
      </c>
      <c r="F33" s="89"/>
      <c r="G33" s="4"/>
      <c r="H33" s="112"/>
      <c r="I33" s="4"/>
      <c r="J33" s="4"/>
      <c r="K33" s="4"/>
      <c r="L33" s="4"/>
      <c r="M33" s="4"/>
      <c r="N33" s="4"/>
      <c r="O33" s="4"/>
      <c r="P33" s="4"/>
      <c r="Q33" s="4"/>
      <c r="R33" s="7"/>
      <c r="S33" s="7"/>
      <c r="T33" s="7"/>
      <c r="U33" s="63"/>
    </row>
    <row r="34" spans="2:21" ht="15">
      <c r="C34" s="11" t="str">
        <f>+S110</f>
        <v xml:space="preserve">   ITC Adjustment  (TCOS, ln 108)</v>
      </c>
      <c r="D34" s="64"/>
      <c r="E34" s="66">
        <f>+R110</f>
        <v>0</v>
      </c>
      <c r="F34" s="64"/>
      <c r="G34" s="64"/>
      <c r="H34" s="64"/>
      <c r="I34" s="64"/>
      <c r="J34" s="64"/>
      <c r="K34" s="64"/>
      <c r="L34" s="64"/>
      <c r="M34" s="64"/>
      <c r="N34" s="64"/>
      <c r="O34" s="64"/>
      <c r="P34" s="465"/>
      <c r="Q34" s="64"/>
      <c r="R34" s="7"/>
      <c r="S34" s="7"/>
      <c r="T34" s="7"/>
      <c r="U34" s="18"/>
    </row>
    <row r="35" spans="2:21" ht="15">
      <c r="C35" s="55" t="s">
        <v>23</v>
      </c>
      <c r="D35" s="64"/>
      <c r="E35" s="66">
        <f>E33+E34</f>
        <v>24594673.681183275</v>
      </c>
      <c r="F35" s="64"/>
      <c r="G35" s="64"/>
      <c r="H35" s="64"/>
      <c r="I35" s="64"/>
      <c r="J35" s="64"/>
      <c r="K35" s="64"/>
      <c r="L35" s="64"/>
      <c r="M35" s="64"/>
      <c r="N35" s="64"/>
      <c r="O35" s="64"/>
      <c r="P35" s="67"/>
      <c r="Q35" s="64"/>
      <c r="U35" s="1"/>
    </row>
    <row r="36" spans="2:21" ht="12.75" customHeight="1">
      <c r="C36" s="68"/>
      <c r="D36" s="64"/>
      <c r="E36" s="64"/>
      <c r="F36" s="64"/>
      <c r="G36" s="64"/>
      <c r="H36" s="64"/>
      <c r="I36" s="64"/>
      <c r="J36" s="64"/>
      <c r="K36" s="64"/>
      <c r="L36" s="64"/>
      <c r="M36" s="64"/>
      <c r="N36" s="64"/>
      <c r="O36" s="64"/>
      <c r="P36" s="67"/>
      <c r="Q36" s="64"/>
      <c r="R36" s="1"/>
      <c r="S36" s="1"/>
      <c r="T36" s="1"/>
      <c r="U36" s="1"/>
    </row>
    <row r="37" spans="2:21" ht="18.75">
      <c r="B37" s="5" t="s">
        <v>24</v>
      </c>
      <c r="C37" s="69" t="str">
        <f>"Calculate Net Plant Carrying Charge Rate (Fixed Charge Rate or FCR) with hypothetical "&amp;F13&amp;" basis point"</f>
        <v>Calculate Net Plant Carrying Charge Rate (Fixed Charge Rate or FCR) with hypothetical 0 basis point</v>
      </c>
      <c r="D37" s="64"/>
      <c r="E37" s="64"/>
      <c r="F37" s="64"/>
      <c r="G37" s="64"/>
      <c r="H37" s="64"/>
      <c r="I37" s="64"/>
      <c r="J37" s="64"/>
      <c r="K37" s="64"/>
      <c r="L37" s="64"/>
      <c r="M37" s="64"/>
      <c r="N37" s="64"/>
      <c r="O37" s="64"/>
      <c r="P37" s="67"/>
      <c r="Q37" s="64"/>
      <c r="R37" s="1"/>
      <c r="S37" s="1"/>
      <c r="T37" s="1"/>
      <c r="U37" s="1"/>
    </row>
    <row r="38" spans="2:21" ht="15.75" customHeight="1">
      <c r="B38" s="5"/>
      <c r="C38" s="69" t="str">
        <f>"ROE increase."</f>
        <v>ROE increase.</v>
      </c>
      <c r="D38" s="64"/>
      <c r="E38" s="64"/>
      <c r="F38" s="64"/>
      <c r="G38" s="64"/>
      <c r="H38" s="64"/>
      <c r="I38" s="64"/>
      <c r="J38" s="64"/>
      <c r="K38" s="64"/>
      <c r="L38" s="64"/>
      <c r="M38" s="64"/>
      <c r="N38" s="64"/>
      <c r="O38" s="64"/>
      <c r="P38" s="67"/>
      <c r="Q38" s="64"/>
      <c r="R38" s="1"/>
      <c r="S38" s="1"/>
      <c r="T38" s="1"/>
      <c r="U38" s="1"/>
    </row>
    <row r="39" spans="2:21" ht="12.75" customHeight="1">
      <c r="C39" s="68"/>
      <c r="D39" s="64"/>
      <c r="E39" s="64"/>
      <c r="F39" s="64"/>
      <c r="G39" s="64"/>
      <c r="H39" s="64"/>
      <c r="I39" s="64"/>
      <c r="J39" s="64"/>
      <c r="K39" s="64"/>
      <c r="L39" s="64"/>
      <c r="M39" s="64"/>
      <c r="N39" s="64"/>
      <c r="O39" s="64"/>
      <c r="P39" s="67"/>
      <c r="Q39" s="64"/>
      <c r="R39" s="1"/>
      <c r="S39" s="1"/>
      <c r="T39" s="1"/>
      <c r="U39" s="1"/>
    </row>
    <row r="40" spans="2:21" ht="15.75">
      <c r="B40" s="1"/>
      <c r="C40" s="91" t="s">
        <v>240</v>
      </c>
      <c r="D40" s="71"/>
      <c r="E40" s="71"/>
      <c r="F40" s="71"/>
      <c r="G40" s="71"/>
      <c r="H40" s="71"/>
      <c r="I40" s="71"/>
      <c r="J40" s="71"/>
      <c r="K40" s="71"/>
      <c r="L40" s="71"/>
      <c r="M40" s="71"/>
      <c r="N40" s="71"/>
      <c r="O40" s="71"/>
      <c r="P40" s="66"/>
      <c r="Q40" s="71"/>
      <c r="R40" s="1"/>
      <c r="S40" s="1"/>
      <c r="T40" s="1"/>
      <c r="U40" s="1"/>
    </row>
    <row r="41" spans="2:21" ht="15.75">
      <c r="B41" s="1"/>
      <c r="C41" s="91"/>
      <c r="D41" s="71"/>
      <c r="E41" s="71"/>
      <c r="F41" s="71"/>
      <c r="G41" s="71"/>
      <c r="H41" s="71"/>
      <c r="I41" s="71"/>
      <c r="J41" s="71"/>
      <c r="K41" s="71"/>
      <c r="L41" s="71"/>
      <c r="M41" s="71"/>
      <c r="N41" s="71"/>
      <c r="O41" s="71"/>
      <c r="P41" s="66"/>
      <c r="Q41" s="71"/>
      <c r="R41" s="1"/>
      <c r="S41" s="1"/>
      <c r="T41" s="1"/>
      <c r="U41" s="1"/>
    </row>
    <row r="42" spans="2:21" ht="12.75" customHeight="1">
      <c r="B42" s="1"/>
      <c r="C42" s="11" t="str">
        <f>+S113</f>
        <v xml:space="preserve">   Net Revenue Requirement  (TCOS, ln 117)</v>
      </c>
      <c r="D42" s="71"/>
      <c r="E42" s="71"/>
      <c r="F42" s="66">
        <f>+R113</f>
        <v>122371399.0348953</v>
      </c>
      <c r="G42" s="71"/>
      <c r="H42" s="71"/>
      <c r="I42" s="71"/>
      <c r="J42" s="71"/>
      <c r="K42" s="71"/>
      <c r="L42" s="71"/>
      <c r="M42" s="71"/>
      <c r="N42" s="71"/>
      <c r="O42" s="71"/>
      <c r="P42" s="66"/>
      <c r="Q42" s="71"/>
      <c r="R42" s="1"/>
      <c r="S42" s="1"/>
      <c r="T42" s="1"/>
      <c r="U42" s="1"/>
    </row>
    <row r="43" spans="2:21">
      <c r="B43" s="1"/>
      <c r="C43" s="11" t="str">
        <f>+S114</f>
        <v xml:space="preserve">   Return  (TCOS, ln 112)</v>
      </c>
      <c r="D43" s="71"/>
      <c r="E43" s="71"/>
      <c r="F43" s="72">
        <f>+R114</f>
        <v>53321255.597391613</v>
      </c>
      <c r="G43" s="73"/>
      <c r="H43" s="73"/>
      <c r="I43" s="73"/>
      <c r="J43" s="73"/>
      <c r="K43" s="73"/>
      <c r="L43" s="73"/>
      <c r="M43" s="73"/>
      <c r="N43" s="73"/>
      <c r="O43" s="73"/>
      <c r="P43" s="66"/>
      <c r="Q43" s="71"/>
      <c r="R43" s="1"/>
      <c r="S43" s="1"/>
      <c r="T43" s="1"/>
      <c r="U43" s="1"/>
    </row>
    <row r="44" spans="2:21">
      <c r="B44" s="1"/>
      <c r="C44" s="11" t="str">
        <f>+S115</f>
        <v xml:space="preserve">   Income Taxes  (TCOS, ln 111)</v>
      </c>
      <c r="D44" s="71"/>
      <c r="E44" s="71"/>
      <c r="F44" s="66">
        <f>+R115</f>
        <v>24950832.256548975</v>
      </c>
      <c r="G44" s="71"/>
      <c r="H44" s="71"/>
      <c r="I44" s="74"/>
      <c r="J44" s="74"/>
      <c r="K44" s="74"/>
      <c r="L44" s="74"/>
      <c r="M44" s="74"/>
      <c r="N44" s="74"/>
      <c r="O44" s="71"/>
      <c r="P44" s="71"/>
      <c r="Q44" s="71"/>
      <c r="R44" s="1"/>
      <c r="S44" s="1"/>
      <c r="T44" s="1"/>
      <c r="U44" s="1"/>
    </row>
    <row r="45" spans="2:21">
      <c r="B45" s="1"/>
      <c r="C45" s="70" t="str">
        <f>+S116</f>
        <v xml:space="preserve">  Gross Margin Taxes  (TCOS, ln 116)</v>
      </c>
      <c r="D45" s="71"/>
      <c r="E45" s="71"/>
      <c r="F45" s="65">
        <f>+R116</f>
        <v>0</v>
      </c>
      <c r="G45" s="71"/>
      <c r="H45" s="71"/>
      <c r="I45" s="74"/>
      <c r="J45" s="74"/>
      <c r="K45" s="74"/>
      <c r="L45" s="74"/>
      <c r="M45" s="74"/>
      <c r="N45" s="74"/>
      <c r="O45" s="71"/>
      <c r="P45" s="71"/>
      <c r="Q45" s="71"/>
      <c r="R45" s="1"/>
      <c r="S45" s="1"/>
      <c r="T45" s="1"/>
      <c r="U45" s="1"/>
    </row>
    <row r="46" spans="2:21">
      <c r="B46" s="1"/>
      <c r="C46" s="23" t="s">
        <v>25</v>
      </c>
      <c r="D46" s="71"/>
      <c r="E46" s="71"/>
      <c r="F46" s="72">
        <f>F42-F43-F44-F45</f>
        <v>44099311.180954725</v>
      </c>
      <c r="G46" s="75"/>
      <c r="H46" s="71"/>
      <c r="I46" s="75"/>
      <c r="J46" s="75"/>
      <c r="K46" s="75"/>
      <c r="L46" s="75"/>
      <c r="M46" s="75"/>
      <c r="N46" s="75"/>
      <c r="O46" s="71"/>
      <c r="P46" s="75"/>
      <c r="Q46" s="71"/>
      <c r="R46" s="1"/>
      <c r="S46" s="1"/>
      <c r="T46" s="1"/>
      <c r="U46" s="1"/>
    </row>
    <row r="47" spans="2:21">
      <c r="B47" s="1"/>
      <c r="C47" s="70"/>
      <c r="D47" s="71"/>
      <c r="E47" s="71"/>
      <c r="F47" s="66"/>
      <c r="G47" s="76"/>
      <c r="H47" s="77"/>
      <c r="I47" s="77"/>
      <c r="J47" s="77"/>
      <c r="K47" s="77"/>
      <c r="L47" s="77"/>
      <c r="M47" s="77"/>
      <c r="N47" s="77"/>
      <c r="O47" s="78"/>
      <c r="P47" s="77"/>
      <c r="Q47" s="79"/>
      <c r="R47" s="1"/>
      <c r="S47" s="1"/>
      <c r="T47" s="1"/>
      <c r="U47" s="1"/>
    </row>
    <row r="48" spans="2:21" ht="15.75">
      <c r="B48" s="1"/>
      <c r="C48" s="8" t="str">
        <f>"B.   Determine Net Revenue Requirement with hypothetical "&amp;F13&amp;" basis point increase in ROE."</f>
        <v>B.   Determine Net Revenue Requirement with hypothetical 0 basis point increase in ROE.</v>
      </c>
      <c r="D48" s="78"/>
      <c r="E48" s="78"/>
      <c r="F48" s="66"/>
      <c r="G48" s="76"/>
      <c r="H48" s="77"/>
      <c r="I48" s="77"/>
      <c r="J48" s="77"/>
      <c r="K48" s="77"/>
      <c r="L48" s="77"/>
      <c r="M48" s="77"/>
      <c r="N48" s="77"/>
      <c r="O48" s="78"/>
      <c r="P48" s="77"/>
      <c r="Q48" s="71"/>
      <c r="T48" s="1"/>
      <c r="U48" s="1"/>
    </row>
    <row r="49" spans="2:21" ht="15.75">
      <c r="B49" s="1"/>
      <c r="C49" s="8"/>
      <c r="D49" s="78"/>
      <c r="E49" s="78"/>
      <c r="F49" s="66"/>
      <c r="G49" s="76"/>
      <c r="H49" s="77"/>
      <c r="I49" s="77"/>
      <c r="J49" s="77"/>
      <c r="K49" s="77"/>
      <c r="L49" s="77"/>
      <c r="M49" s="77"/>
      <c r="N49" s="77"/>
      <c r="O49" s="78"/>
      <c r="P49" s="77"/>
      <c r="Q49" s="71"/>
      <c r="T49" s="1"/>
      <c r="U49" s="1"/>
    </row>
    <row r="50" spans="2:21">
      <c r="B50" s="1"/>
      <c r="C50" s="70" t="str">
        <f>C46</f>
        <v xml:space="preserve">   Net Revenue Requirement, Less Return and Taxes</v>
      </c>
      <c r="D50" s="78"/>
      <c r="E50" s="78"/>
      <c r="F50" s="66">
        <f>F46</f>
        <v>44099311.180954725</v>
      </c>
      <c r="G50" s="71"/>
      <c r="H50" s="71"/>
      <c r="I50" s="71"/>
      <c r="J50" s="71"/>
      <c r="K50" s="71"/>
      <c r="L50" s="71"/>
      <c r="M50" s="71"/>
      <c r="N50" s="71"/>
      <c r="O50" s="80"/>
      <c r="P50" s="81"/>
      <c r="Q50" s="82"/>
      <c r="T50" s="1"/>
      <c r="U50" s="1"/>
    </row>
    <row r="51" spans="2:21">
      <c r="B51" s="1"/>
      <c r="C51" s="17" t="s">
        <v>92</v>
      </c>
      <c r="D51" s="83"/>
      <c r="E51" s="23"/>
      <c r="F51" s="84">
        <f>E26</f>
        <v>53321255.597391613</v>
      </c>
      <c r="G51" s="23"/>
      <c r="H51" s="85"/>
      <c r="I51" s="23"/>
      <c r="J51" s="23"/>
      <c r="K51" s="23"/>
      <c r="L51" s="23"/>
      <c r="M51" s="23"/>
      <c r="N51" s="23"/>
      <c r="O51" s="23"/>
      <c r="P51" s="23"/>
      <c r="Q51" s="23"/>
      <c r="T51" s="1"/>
      <c r="U51" s="1"/>
    </row>
    <row r="52" spans="2:21" ht="12.75" customHeight="1">
      <c r="B52" s="1"/>
      <c r="C52" s="11" t="s">
        <v>26</v>
      </c>
      <c r="D52" s="71"/>
      <c r="E52" s="71"/>
      <c r="F52" s="86">
        <f>E35</f>
        <v>24594673.681183275</v>
      </c>
      <c r="G52" s="1"/>
      <c r="H52" s="3"/>
      <c r="I52" s="1"/>
      <c r="J52" s="4"/>
      <c r="K52" s="1"/>
      <c r="L52" s="1"/>
      <c r="M52" s="1"/>
      <c r="N52" s="1"/>
      <c r="O52" s="1"/>
      <c r="P52" s="1"/>
      <c r="Q52" s="1"/>
      <c r="T52" s="1"/>
      <c r="U52" s="1"/>
    </row>
    <row r="53" spans="2:21">
      <c r="B53" s="1"/>
      <c r="C53" s="23" t="str">
        <f>"   Net Revenue Requirement, with "&amp;F13&amp;" Basis Point ROE increase"</f>
        <v xml:space="preserve">   Net Revenue Requirement, with 0 Basis Point ROE increase</v>
      </c>
      <c r="D53" s="2"/>
      <c r="E53" s="1"/>
      <c r="F53" s="62">
        <f>SUM(F50:F52)</f>
        <v>122015240.45952961</v>
      </c>
      <c r="G53" s="1"/>
      <c r="H53" s="3"/>
      <c r="I53" s="1"/>
      <c r="J53" s="4"/>
      <c r="K53" s="1"/>
      <c r="L53" s="1"/>
      <c r="M53" s="1"/>
      <c r="N53" s="1"/>
      <c r="O53" s="1"/>
      <c r="P53" s="1"/>
      <c r="Q53" s="1"/>
      <c r="R53" s="1"/>
      <c r="S53" s="1"/>
      <c r="T53" s="1"/>
      <c r="U53" s="1"/>
    </row>
    <row r="54" spans="2:21">
      <c r="B54" s="1"/>
      <c r="C54" s="63" t="str">
        <f>"   Gross Margin Tax with "&amp;F13&amp;" Basis Point ROE Increase (II C. below)"</f>
        <v xml:space="preserve">   Gross Margin Tax with 0 Basis Point ROE Increase (II C. below)</v>
      </c>
      <c r="D54" s="87"/>
      <c r="E54" s="87"/>
      <c r="F54" s="88">
        <f>+F69</f>
        <v>0</v>
      </c>
      <c r="G54" s="1"/>
      <c r="H54" s="3"/>
      <c r="I54" s="1"/>
      <c r="J54" s="4"/>
      <c r="K54" s="1"/>
      <c r="L54" s="1"/>
      <c r="M54" s="1"/>
      <c r="N54" s="1"/>
      <c r="O54" s="1"/>
      <c r="P54" s="1"/>
      <c r="Q54" s="1"/>
      <c r="R54" s="1"/>
      <c r="S54" s="1"/>
      <c r="T54" s="1"/>
      <c r="U54" s="1"/>
    </row>
    <row r="55" spans="2:21">
      <c r="B55" s="1"/>
      <c r="C55" s="23" t="s">
        <v>27</v>
      </c>
      <c r="D55" s="2"/>
      <c r="E55" s="1"/>
      <c r="F55" s="89">
        <f>+F53+F54</f>
        <v>122015240.45952961</v>
      </c>
      <c r="G55" s="1"/>
      <c r="H55" s="3"/>
      <c r="I55" s="1"/>
      <c r="J55" s="4"/>
      <c r="K55" s="1"/>
      <c r="L55" s="1"/>
      <c r="M55" s="1"/>
      <c r="N55" s="1"/>
      <c r="O55" s="1"/>
      <c r="P55" s="1"/>
      <c r="Q55" s="1"/>
      <c r="R55" s="1"/>
      <c r="S55" s="1"/>
      <c r="T55" s="1"/>
      <c r="U55" s="1"/>
    </row>
    <row r="56" spans="2:21">
      <c r="B56" s="1"/>
      <c r="C56" s="11" t="str">
        <f>+S117</f>
        <v xml:space="preserve">   Less: Depreciation  (TCOS, ln 86)</v>
      </c>
      <c r="D56" s="2"/>
      <c r="E56" s="1"/>
      <c r="F56" s="90">
        <f>+R117</f>
        <v>22297433.163791802</v>
      </c>
      <c r="G56" s="1"/>
      <c r="H56" s="3"/>
      <c r="I56" s="1"/>
      <c r="J56" s="4"/>
      <c r="K56" s="1"/>
      <c r="L56" s="1"/>
      <c r="M56" s="1"/>
      <c r="N56" s="1"/>
      <c r="O56" s="1"/>
      <c r="P56" s="1"/>
      <c r="Q56" s="1"/>
      <c r="R56" s="1"/>
      <c r="S56" s="1"/>
      <c r="T56" s="1"/>
      <c r="U56" s="1"/>
    </row>
    <row r="57" spans="2:21">
      <c r="B57" s="1"/>
      <c r="C57" s="23" t="str">
        <f>"   Net Rev. Req, w/"&amp;F13&amp;" Basis Point ROE increase, less Depreciation"</f>
        <v xml:space="preserve">   Net Rev. Req, w/0 Basis Point ROE increase, less Depreciation</v>
      </c>
      <c r="D57" s="2"/>
      <c r="E57" s="1"/>
      <c r="F57" s="62">
        <f>F55-F56</f>
        <v>99717807.295737803</v>
      </c>
      <c r="G57" s="1"/>
      <c r="H57" s="3"/>
      <c r="I57" s="1"/>
      <c r="J57" s="4"/>
      <c r="K57" s="1"/>
      <c r="L57" s="1"/>
      <c r="M57" s="1"/>
      <c r="N57" s="1"/>
      <c r="O57" s="1"/>
      <c r="P57" s="1"/>
      <c r="Q57" s="1"/>
      <c r="R57" s="1"/>
      <c r="S57" s="1"/>
      <c r="T57" s="1"/>
      <c r="U57" s="1"/>
    </row>
    <row r="58" spans="2:21">
      <c r="B58" s="1"/>
      <c r="C58" s="1"/>
      <c r="D58" s="2"/>
      <c r="E58" s="1"/>
      <c r="F58" s="1"/>
      <c r="G58" s="1"/>
      <c r="H58" s="3"/>
      <c r="I58" s="1"/>
      <c r="J58" s="4"/>
      <c r="K58" s="1"/>
      <c r="L58" s="1"/>
      <c r="M58" s="1"/>
      <c r="N58" s="1"/>
      <c r="O58" s="1"/>
      <c r="P58" s="1"/>
      <c r="Q58" s="1"/>
      <c r="R58" s="1"/>
      <c r="S58" s="1"/>
      <c r="T58" s="1"/>
      <c r="U58" s="1"/>
    </row>
    <row r="59" spans="2:21" ht="15.75">
      <c r="B59" s="19"/>
      <c r="C59" s="91" t="str">
        <f>"C.   Determine Gross Margin Tax with hypothetical "&amp;F13&amp;" basis point increase in ROE."</f>
        <v>C.   Determine Gross Margin Tax with hypothetical 0 basis point increase in ROE.</v>
      </c>
      <c r="D59" s="92"/>
      <c r="E59" s="92"/>
      <c r="F59" s="93"/>
      <c r="G59" s="19"/>
      <c r="H59" s="94"/>
      <c r="I59" s="19"/>
      <c r="J59" s="4"/>
      <c r="K59" s="1"/>
      <c r="L59" s="1"/>
      <c r="M59" s="1"/>
      <c r="N59" s="1"/>
      <c r="O59" s="1"/>
      <c r="P59" s="1"/>
      <c r="Q59" s="1"/>
      <c r="R59" s="1"/>
      <c r="S59" s="1"/>
      <c r="T59" s="1"/>
      <c r="U59" s="1"/>
    </row>
    <row r="60" spans="2:21">
      <c r="B60" s="19"/>
      <c r="C60" s="63" t="str">
        <f>"   Net Revenue Requirement before Gross Margin Taxes, with "&amp;F13&amp;" "</f>
        <v xml:space="preserve">   Net Revenue Requirement before Gross Margin Taxes, with 0 </v>
      </c>
      <c r="D60" s="92"/>
      <c r="E60" s="92"/>
      <c r="F60" s="93">
        <f>+F53</f>
        <v>122015240.45952961</v>
      </c>
      <c r="G60" s="19"/>
      <c r="H60" s="94"/>
      <c r="I60" s="19"/>
      <c r="J60" s="4"/>
      <c r="K60" s="1"/>
      <c r="L60" s="1"/>
      <c r="M60" s="1"/>
      <c r="N60" s="1"/>
      <c r="O60" s="1"/>
      <c r="P60" s="1"/>
      <c r="Q60" s="1"/>
      <c r="R60" s="1"/>
      <c r="S60" s="1"/>
      <c r="T60" s="1"/>
      <c r="U60" s="1"/>
    </row>
    <row r="61" spans="2:21">
      <c r="B61" s="19"/>
      <c r="C61" s="63" t="s">
        <v>28</v>
      </c>
      <c r="D61" s="92"/>
      <c r="E61" s="92"/>
      <c r="F61" s="93"/>
      <c r="G61" s="19"/>
      <c r="H61" s="94"/>
      <c r="I61" s="19"/>
      <c r="J61" s="4"/>
      <c r="K61" s="1"/>
      <c r="L61" s="1"/>
      <c r="M61" s="1"/>
      <c r="N61" s="1"/>
      <c r="O61" s="1"/>
      <c r="P61" s="1"/>
      <c r="Q61" s="1"/>
      <c r="R61" s="1"/>
      <c r="S61" s="1"/>
      <c r="T61" s="1"/>
      <c r="U61" s="1"/>
    </row>
    <row r="62" spans="2:21">
      <c r="B62" s="19"/>
      <c r="C62" s="23" t="str">
        <f>+S118</f>
        <v xml:space="preserve">       Apportionment Factor to Texas (Worksheet K, ln 12)</v>
      </c>
      <c r="D62" s="61"/>
      <c r="E62" s="19"/>
      <c r="F62" s="95">
        <f>+R118</f>
        <v>0</v>
      </c>
      <c r="G62" s="19"/>
      <c r="H62" s="94"/>
      <c r="I62" s="19"/>
      <c r="J62" s="4"/>
      <c r="K62" s="1"/>
      <c r="L62" s="1"/>
      <c r="M62" s="1"/>
      <c r="N62" s="1"/>
      <c r="O62" s="1"/>
      <c r="P62" s="1"/>
      <c r="Q62" s="1"/>
      <c r="R62" s="1"/>
      <c r="S62" s="1"/>
      <c r="T62" s="1"/>
      <c r="U62" s="1"/>
    </row>
    <row r="63" spans="2:21">
      <c r="B63" s="19"/>
      <c r="C63" s="23" t="s">
        <v>29</v>
      </c>
      <c r="D63" s="61"/>
      <c r="E63" s="19"/>
      <c r="F63" s="93">
        <f>+F60*F62</f>
        <v>0</v>
      </c>
      <c r="G63" s="19"/>
      <c r="H63" s="94"/>
      <c r="I63" s="19"/>
      <c r="J63" s="4"/>
      <c r="K63" s="1"/>
      <c r="L63" s="1"/>
      <c r="M63" s="1"/>
      <c r="N63" s="1"/>
      <c r="O63" s="1"/>
      <c r="P63" s="1"/>
      <c r="Q63" s="1"/>
      <c r="R63" s="1"/>
      <c r="S63" s="1"/>
      <c r="T63" s="1"/>
      <c r="U63" s="1"/>
    </row>
    <row r="64" spans="2:21">
      <c r="B64" s="19"/>
      <c r="C64" s="23" t="s">
        <v>257</v>
      </c>
      <c r="D64" s="61"/>
      <c r="E64" s="19"/>
      <c r="F64" s="96">
        <v>0.22</v>
      </c>
      <c r="G64" s="19"/>
      <c r="H64" s="94"/>
      <c r="I64" s="19"/>
      <c r="J64" s="4"/>
      <c r="K64" s="1"/>
      <c r="L64" s="1"/>
      <c r="M64" s="1"/>
      <c r="N64" s="1"/>
      <c r="O64" s="1"/>
      <c r="P64" s="1"/>
      <c r="Q64" s="1"/>
      <c r="R64" s="1"/>
      <c r="S64" s="1"/>
      <c r="T64" s="1"/>
      <c r="U64" s="1"/>
    </row>
    <row r="65" spans="2:21">
      <c r="B65" s="19"/>
      <c r="C65" s="23" t="s">
        <v>30</v>
      </c>
      <c r="D65" s="61"/>
      <c r="E65" s="19"/>
      <c r="F65" s="93">
        <f>+F63*F64</f>
        <v>0</v>
      </c>
      <c r="G65" s="19"/>
      <c r="H65" s="94"/>
      <c r="I65" s="19"/>
      <c r="J65" s="4"/>
      <c r="K65" s="1"/>
      <c r="L65" s="1"/>
      <c r="M65" s="1"/>
      <c r="N65" s="1"/>
      <c r="O65" s="1"/>
      <c r="P65" s="1"/>
      <c r="Q65" s="1"/>
      <c r="R65" s="1"/>
      <c r="S65" s="1"/>
      <c r="T65" s="1"/>
      <c r="U65" s="1"/>
    </row>
    <row r="66" spans="2:21">
      <c r="B66" s="19"/>
      <c r="C66" s="23" t="s">
        <v>31</v>
      </c>
      <c r="D66" s="61"/>
      <c r="E66" s="19"/>
      <c r="F66" s="96">
        <v>0.01</v>
      </c>
      <c r="G66" s="19"/>
      <c r="H66" s="94"/>
      <c r="I66" s="19"/>
      <c r="J66" s="4"/>
      <c r="K66" s="1"/>
      <c r="L66" s="1"/>
      <c r="M66" s="1"/>
      <c r="N66" s="1"/>
      <c r="O66" s="1"/>
      <c r="P66" s="1"/>
      <c r="Q66" s="1"/>
      <c r="R66" s="1"/>
      <c r="S66" s="1"/>
      <c r="T66" s="1"/>
      <c r="U66" s="1"/>
    </row>
    <row r="67" spans="2:21">
      <c r="B67" s="19"/>
      <c r="C67" s="23" t="s">
        <v>32</v>
      </c>
      <c r="D67" s="61"/>
      <c r="E67" s="19"/>
      <c r="F67" s="93">
        <f>+F65*F66</f>
        <v>0</v>
      </c>
      <c r="G67" s="19"/>
      <c r="H67" s="94"/>
      <c r="I67" s="19"/>
      <c r="J67" s="4"/>
      <c r="K67" s="1"/>
      <c r="L67" s="1"/>
      <c r="M67" s="1"/>
      <c r="N67" s="1"/>
      <c r="O67" s="1"/>
      <c r="P67" s="1"/>
      <c r="Q67" s="1"/>
      <c r="R67" s="1"/>
      <c r="S67" s="1"/>
      <c r="T67" s="1"/>
      <c r="U67" s="1"/>
    </row>
    <row r="68" spans="2:21">
      <c r="B68" s="19"/>
      <c r="C68" s="23" t="s">
        <v>33</v>
      </c>
      <c r="D68" s="61"/>
      <c r="E68" s="19"/>
      <c r="F68" s="97">
        <f>+ROUND((F67*F64*F62)/(1-F66)*F66,0)</f>
        <v>0</v>
      </c>
      <c r="G68" s="19"/>
      <c r="H68" s="94"/>
      <c r="I68" s="19"/>
      <c r="J68" s="4"/>
      <c r="K68" s="1"/>
      <c r="L68" s="1"/>
      <c r="M68" s="1"/>
      <c r="N68" s="1"/>
      <c r="O68" s="1"/>
      <c r="P68" s="1"/>
      <c r="Q68" s="1"/>
      <c r="R68" s="1"/>
      <c r="S68" s="1"/>
      <c r="T68" s="1"/>
      <c r="U68" s="1"/>
    </row>
    <row r="69" spans="2:21">
      <c r="B69" s="19"/>
      <c r="C69" s="23" t="s">
        <v>34</v>
      </c>
      <c r="D69" s="61"/>
      <c r="E69" s="19"/>
      <c r="F69" s="93">
        <f>+F67+F68</f>
        <v>0</v>
      </c>
      <c r="G69" s="19"/>
      <c r="H69" s="94"/>
      <c r="I69" s="19"/>
      <c r="J69" s="4"/>
      <c r="K69" s="1"/>
      <c r="L69" s="1"/>
      <c r="M69" s="1"/>
      <c r="N69" s="1"/>
      <c r="O69" s="1"/>
      <c r="P69" s="1"/>
      <c r="Q69" s="1"/>
      <c r="R69" s="1"/>
      <c r="S69" s="1"/>
      <c r="T69" s="1"/>
      <c r="U69" s="1"/>
    </row>
    <row r="70" spans="2:21">
      <c r="B70" s="1"/>
      <c r="C70" s="1"/>
      <c r="D70" s="2"/>
      <c r="E70" s="1"/>
      <c r="F70" s="1"/>
      <c r="G70" s="1"/>
      <c r="H70" s="3"/>
      <c r="I70" s="1"/>
      <c r="J70" s="4"/>
      <c r="K70" s="1"/>
      <c r="L70" s="1"/>
      <c r="M70" s="1"/>
      <c r="N70" s="1"/>
      <c r="O70" s="1"/>
      <c r="P70" s="1"/>
      <c r="Q70" s="1"/>
      <c r="R70" s="1"/>
      <c r="S70" s="1"/>
      <c r="T70" s="1"/>
      <c r="U70" s="1"/>
    </row>
    <row r="71" spans="2:21" ht="15.75">
      <c r="B71" s="1"/>
      <c r="C71" s="8" t="str">
        <f>"D.   Determine FCR with hypothetical "&amp;F13&amp;" basis point ROE increase."</f>
        <v>D.   Determine FCR with hypothetical 0 basis point ROE increase.</v>
      </c>
      <c r="D71" s="2"/>
      <c r="E71" s="1"/>
      <c r="F71" s="1"/>
      <c r="G71" s="1"/>
      <c r="H71" s="3"/>
      <c r="I71" s="1"/>
      <c r="J71" s="4"/>
      <c r="K71" s="1"/>
      <c r="L71" s="1"/>
      <c r="M71" s="1"/>
      <c r="N71" s="1"/>
      <c r="O71" s="1"/>
      <c r="P71" s="1"/>
      <c r="Q71" s="1"/>
      <c r="R71" s="1"/>
      <c r="S71" s="1"/>
      <c r="T71" s="1"/>
      <c r="U71" s="1"/>
    </row>
    <row r="72" spans="2:21">
      <c r="B72" s="1"/>
      <c r="C72" s="11" t="str">
        <f>+S119</f>
        <v xml:space="preserve">   Net Transmission Plant  (TCOS, ln 37)</v>
      </c>
      <c r="D72" s="2"/>
      <c r="E72" s="1"/>
      <c r="F72" s="62">
        <f>+R119</f>
        <v>851758372.09995687</v>
      </c>
      <c r="G72" s="98"/>
      <c r="H72" s="10"/>
      <c r="J72" s="7"/>
      <c r="P72" s="1"/>
      <c r="Q72" s="1"/>
      <c r="R72" s="1"/>
      <c r="S72" s="1"/>
      <c r="T72" s="1"/>
      <c r="U72" s="3"/>
    </row>
    <row r="73" spans="2:21">
      <c r="B73" s="1"/>
      <c r="C73" s="23" t="str">
        <f>"   Net Revenue Requirement, with "&amp;F13&amp;" Basis Point ROE increase"</f>
        <v xml:space="preserve">   Net Revenue Requirement, with 0 Basis Point ROE increase</v>
      </c>
      <c r="D73" s="2"/>
      <c r="E73" s="1"/>
      <c r="F73" s="99">
        <f>F53</f>
        <v>122015240.45952961</v>
      </c>
      <c r="H73" s="10"/>
      <c r="J73" s="7"/>
      <c r="P73" s="1"/>
      <c r="Q73" s="1"/>
      <c r="R73" s="1"/>
      <c r="S73" s="1"/>
      <c r="T73" s="1"/>
      <c r="U73" s="3"/>
    </row>
    <row r="74" spans="2:21">
      <c r="B74" s="1"/>
      <c r="C74" s="23" t="str">
        <f>"   FCR with "&amp;F13&amp;" Basis Point increase in ROE"</f>
        <v xml:space="preserve">   FCR with 0 Basis Point increase in ROE</v>
      </c>
      <c r="D74" s="2"/>
      <c r="E74" s="1"/>
      <c r="F74" s="100">
        <f>IF(F72=0,0,F73/F72)</f>
        <v>0.1432510022281421</v>
      </c>
      <c r="H74" s="10"/>
      <c r="J74" s="7"/>
      <c r="P74" s="1"/>
      <c r="Q74" s="1"/>
      <c r="R74" s="1"/>
      <c r="S74" s="1"/>
      <c r="T74" s="1"/>
      <c r="U74" s="3"/>
    </row>
    <row r="75" spans="2:21">
      <c r="B75" s="1"/>
      <c r="D75" s="2"/>
      <c r="E75" s="1"/>
      <c r="F75" s="19"/>
      <c r="H75" s="10"/>
      <c r="J75" s="7"/>
      <c r="P75" s="1"/>
      <c r="Q75" s="1"/>
      <c r="R75" s="1"/>
      <c r="S75" s="1"/>
      <c r="T75" s="1"/>
      <c r="U75" s="3"/>
    </row>
    <row r="76" spans="2:21">
      <c r="B76" s="1"/>
      <c r="C76" s="23" t="str">
        <f>"   Net Rev. Req, w / "&amp;F13&amp;" Basis Point ROE increase, less Dep."</f>
        <v xml:space="preserve">   Net Rev. Req, w / 0 Basis Point ROE increase, less Dep.</v>
      </c>
      <c r="D76" s="2"/>
      <c r="E76" s="1"/>
      <c r="F76" s="62">
        <f>F57</f>
        <v>99717807.295737803</v>
      </c>
      <c r="G76" s="98"/>
      <c r="H76" s="10"/>
      <c r="J76" s="7"/>
      <c r="P76" s="1"/>
      <c r="Q76" s="1"/>
      <c r="R76" s="1"/>
      <c r="S76" s="1"/>
      <c r="T76" s="1"/>
      <c r="U76" s="3"/>
    </row>
    <row r="77" spans="2:21">
      <c r="B77" s="1"/>
      <c r="C77" s="23" t="str">
        <f>"   FCR with "&amp;F13&amp;" Basis Point ROE increase, less Depreciation"</f>
        <v xml:space="preserve">   FCR with 0 Basis Point ROE increase, less Depreciation</v>
      </c>
      <c r="D77" s="2"/>
      <c r="E77" s="1"/>
      <c r="F77" s="100">
        <f>IF(F72=0,0,F76/F72)</f>
        <v>0.11707288189007148</v>
      </c>
      <c r="G77" s="100"/>
      <c r="H77" s="10"/>
      <c r="J77" s="7"/>
      <c r="P77" s="1"/>
      <c r="Q77" s="1"/>
      <c r="R77" s="1"/>
      <c r="S77" s="1"/>
      <c r="T77" s="1"/>
      <c r="U77" s="3"/>
    </row>
    <row r="78" spans="2:21">
      <c r="B78" s="1"/>
      <c r="C78" s="11" t="str">
        <f>+S120</f>
        <v xml:space="preserve">   FCR less Depreciation  (TCOS, ln 10)</v>
      </c>
      <c r="D78" s="2"/>
      <c r="E78" s="1"/>
      <c r="F78" s="101">
        <f>+R120</f>
        <v>0.11749102697326873</v>
      </c>
      <c r="H78" s="10"/>
      <c r="J78" s="7"/>
      <c r="P78" s="1"/>
      <c r="Q78" s="1"/>
      <c r="R78" s="1"/>
      <c r="S78" s="1"/>
      <c r="T78" s="1"/>
      <c r="U78" s="3"/>
    </row>
    <row r="79" spans="2:21">
      <c r="B79" s="1"/>
      <c r="C79" s="509" t="str">
        <f>"   Incremental FCR with "&amp;F13&amp;" Basis Point ROE increase, less Depreciation"</f>
        <v xml:space="preserve">   Incremental FCR with 0 Basis Point ROE increase, less Depreciation</v>
      </c>
      <c r="D79" s="508"/>
      <c r="E79" s="508"/>
      <c r="F79" s="100">
        <f>F77-F78</f>
        <v>-4.1814508319724941E-4</v>
      </c>
      <c r="H79" s="10"/>
      <c r="J79" s="7"/>
      <c r="P79" s="1"/>
      <c r="Q79" s="1"/>
      <c r="R79" s="1"/>
      <c r="S79" s="1"/>
      <c r="T79" s="1"/>
      <c r="U79" s="3"/>
    </row>
    <row r="80" spans="2:21">
      <c r="B80" s="1"/>
      <c r="C80" s="508"/>
      <c r="D80" s="508"/>
      <c r="E80" s="508"/>
      <c r="F80" s="100"/>
      <c r="G80" s="1"/>
      <c r="H80" s="3"/>
      <c r="I80" s="1"/>
      <c r="J80" s="4"/>
      <c r="K80" s="1"/>
      <c r="L80" s="1"/>
      <c r="M80" s="1"/>
      <c r="N80" s="1"/>
      <c r="O80" s="1"/>
      <c r="P80" s="1"/>
      <c r="Q80" s="1"/>
      <c r="R80" s="1"/>
      <c r="S80" s="1"/>
      <c r="T80" s="1"/>
      <c r="U80" s="1"/>
    </row>
    <row r="81" spans="2:21" ht="18.75">
      <c r="B81" s="5" t="s">
        <v>35</v>
      </c>
      <c r="C81" s="69" t="s">
        <v>36</v>
      </c>
      <c r="D81" s="2"/>
      <c r="E81" s="1"/>
      <c r="F81" s="100"/>
      <c r="G81" s="1"/>
      <c r="H81" s="3"/>
      <c r="I81" s="1"/>
      <c r="J81" s="4"/>
      <c r="K81" s="1"/>
      <c r="L81" s="1"/>
      <c r="M81" s="1"/>
      <c r="N81" s="1"/>
      <c r="O81" s="1"/>
      <c r="P81" s="1"/>
      <c r="Q81" s="1"/>
      <c r="R81" s="1"/>
      <c r="S81" s="1"/>
      <c r="T81" s="1"/>
      <c r="U81" s="1"/>
    </row>
    <row r="82" spans="2:21" ht="12.75" customHeight="1">
      <c r="B82" s="5"/>
      <c r="C82" s="23" t="s">
        <v>37</v>
      </c>
      <c r="D82" s="2"/>
      <c r="F82" s="94">
        <f>R121</f>
        <v>833515368.56698298</v>
      </c>
      <c r="G82" s="1" t="s">
        <v>241</v>
      </c>
      <c r="H82" s="3"/>
      <c r="I82" s="500" t="s">
        <v>259</v>
      </c>
      <c r="J82" s="500"/>
      <c r="K82" s="500"/>
      <c r="L82" s="500"/>
      <c r="M82" s="500"/>
      <c r="N82" s="500"/>
      <c r="O82" s="1"/>
      <c r="P82" s="1"/>
      <c r="Q82" s="1"/>
      <c r="R82" s="1"/>
      <c r="S82" s="1"/>
      <c r="T82" s="1"/>
      <c r="U82" s="1"/>
    </row>
    <row r="83" spans="2:21" ht="12.75" customHeight="1">
      <c r="B83" s="5"/>
      <c r="C83" s="23" t="s">
        <v>38</v>
      </c>
      <c r="D83" s="2"/>
      <c r="F83" s="103">
        <f>R122</f>
        <v>984858801.61921501</v>
      </c>
      <c r="G83" s="1" t="s">
        <v>241</v>
      </c>
      <c r="H83" s="3"/>
      <c r="I83" s="500"/>
      <c r="J83" s="500"/>
      <c r="K83" s="500"/>
      <c r="L83" s="500"/>
      <c r="M83" s="500"/>
      <c r="N83" s="500"/>
      <c r="O83" s="1"/>
      <c r="P83" s="1"/>
      <c r="Q83" s="1"/>
      <c r="R83" s="1"/>
      <c r="S83" s="1"/>
      <c r="T83" s="1"/>
      <c r="U83" s="1"/>
    </row>
    <row r="84" spans="2:21">
      <c r="B84" s="1"/>
      <c r="C84" s="23"/>
      <c r="D84" s="2"/>
      <c r="F84" s="3">
        <f>SUM(F82:F83)</f>
        <v>1818374170.186198</v>
      </c>
      <c r="G84" s="62"/>
      <c r="H84" s="3"/>
      <c r="I84" s="500"/>
      <c r="J84" s="500"/>
      <c r="K84" s="500"/>
      <c r="L84" s="500"/>
      <c r="M84" s="500"/>
      <c r="N84" s="500"/>
      <c r="O84" s="1"/>
      <c r="P84" s="1"/>
      <c r="Q84" s="1"/>
      <c r="R84" s="1"/>
      <c r="S84" s="1"/>
      <c r="T84" s="1"/>
      <c r="U84" s="1"/>
    </row>
    <row r="85" spans="2:21">
      <c r="B85" s="1"/>
      <c r="C85" s="23" t="str">
        <f>S123</f>
        <v>Transmission Plant Average Balance for 2018</v>
      </c>
      <c r="D85" s="61"/>
      <c r="E85" s="104"/>
      <c r="F85" s="412">
        <f>+F84/2</f>
        <v>909187085.093099</v>
      </c>
      <c r="G85" s="105"/>
      <c r="H85" s="3"/>
      <c r="I85" s="500"/>
      <c r="J85" s="500"/>
      <c r="K85" s="500"/>
      <c r="L85" s="500"/>
      <c r="M85" s="500"/>
      <c r="N85" s="500"/>
      <c r="O85" s="1"/>
      <c r="P85" s="1"/>
      <c r="Q85" s="1"/>
      <c r="R85" s="1"/>
      <c r="S85" s="1"/>
      <c r="T85" s="1"/>
      <c r="U85" s="1"/>
    </row>
    <row r="86" spans="2:21">
      <c r="B86" s="1"/>
      <c r="C86" s="11" t="str">
        <f>S124</f>
        <v>Annual Depreciation Expense  (Historic TCOS, ln 259)</v>
      </c>
      <c r="D86" s="61"/>
      <c r="E86" s="19"/>
      <c r="F86" s="412">
        <f>R124</f>
        <v>22297433.163791802</v>
      </c>
      <c r="G86" s="1"/>
      <c r="H86" s="3"/>
      <c r="I86" s="500"/>
      <c r="J86" s="500"/>
      <c r="K86" s="500"/>
      <c r="L86" s="500"/>
      <c r="M86" s="500"/>
      <c r="N86" s="500"/>
      <c r="O86" s="1"/>
      <c r="P86" s="1"/>
      <c r="Q86" s="1"/>
      <c r="R86" s="1"/>
      <c r="S86" s="1"/>
      <c r="T86" s="1"/>
      <c r="U86" s="1"/>
    </row>
    <row r="87" spans="2:21">
      <c r="B87" s="1"/>
      <c r="C87" s="23" t="s">
        <v>39</v>
      </c>
      <c r="D87" s="2"/>
      <c r="E87" s="1"/>
      <c r="F87" s="411">
        <f>F86/F85</f>
        <v>2.4524581936300367E-2</v>
      </c>
      <c r="G87" s="1"/>
      <c r="H87" s="106"/>
      <c r="I87" s="500"/>
      <c r="J87" s="500"/>
      <c r="K87" s="500"/>
      <c r="L87" s="500"/>
      <c r="M87" s="500"/>
      <c r="N87" s="500"/>
      <c r="O87" s="1"/>
      <c r="P87" s="1"/>
      <c r="Q87" s="1"/>
      <c r="R87" s="1"/>
      <c r="S87" s="1"/>
      <c r="T87" s="1"/>
      <c r="U87" s="1"/>
    </row>
    <row r="88" spans="2:21">
      <c r="B88" s="1"/>
      <c r="C88" s="23" t="s">
        <v>40</v>
      </c>
      <c r="D88" s="2"/>
      <c r="E88" s="1"/>
      <c r="F88" s="107">
        <f>IF(F87=0,0,1/F87)</f>
        <v>40.775414749061937</v>
      </c>
      <c r="H88" s="3"/>
      <c r="I88" s="1"/>
      <c r="J88" s="4"/>
      <c r="K88" s="1"/>
      <c r="L88" s="1"/>
      <c r="M88" s="1"/>
      <c r="N88" s="1"/>
      <c r="O88" s="1"/>
      <c r="P88" s="1"/>
      <c r="Q88" s="1"/>
      <c r="R88" s="1"/>
      <c r="S88" s="1"/>
      <c r="T88" s="1"/>
      <c r="U88" s="1"/>
    </row>
    <row r="89" spans="2:21">
      <c r="B89" s="1"/>
      <c r="C89" s="23" t="s">
        <v>41</v>
      </c>
      <c r="D89" s="2"/>
      <c r="E89" s="1"/>
      <c r="F89" s="108">
        <f>F88</f>
        <v>40.775414749061937</v>
      </c>
      <c r="G89" s="1"/>
      <c r="H89" s="3"/>
      <c r="I89" s="1"/>
      <c r="J89" s="4"/>
      <c r="K89" s="1"/>
      <c r="L89" s="1"/>
      <c r="M89" s="1"/>
      <c r="N89" s="1"/>
      <c r="O89" s="1"/>
      <c r="P89" s="1"/>
      <c r="Q89" s="1"/>
      <c r="R89" s="1"/>
      <c r="S89" s="1"/>
      <c r="T89" s="1"/>
      <c r="U89" s="1"/>
    </row>
    <row r="90" spans="2:21">
      <c r="C90" s="175"/>
      <c r="D90" s="156"/>
      <c r="E90" s="156"/>
      <c r="F90" s="156"/>
      <c r="G90" s="112"/>
      <c r="H90" s="112"/>
      <c r="I90" s="173"/>
      <c r="J90" s="173"/>
      <c r="K90" s="173"/>
      <c r="L90" s="173"/>
      <c r="M90" s="173"/>
      <c r="N90" s="173"/>
      <c r="O90" s="4"/>
      <c r="P90" s="4"/>
      <c r="Q90" s="1"/>
      <c r="R90" s="1"/>
      <c r="S90" s="1"/>
      <c r="T90" s="1"/>
      <c r="U90" s="1"/>
    </row>
    <row r="91" spans="2:21">
      <c r="C91" s="175"/>
      <c r="D91" s="156"/>
      <c r="E91" s="156"/>
      <c r="F91" s="156"/>
      <c r="G91" s="112"/>
      <c r="H91" s="112"/>
      <c r="I91" s="173"/>
      <c r="J91" s="173"/>
      <c r="K91" s="173"/>
      <c r="L91" s="173"/>
      <c r="M91" s="173"/>
      <c r="N91" s="173"/>
      <c r="O91" s="4"/>
      <c r="P91" s="4"/>
      <c r="Q91" s="1"/>
      <c r="R91" s="1"/>
      <c r="S91" s="1"/>
      <c r="T91" s="1"/>
      <c r="U91" s="1"/>
    </row>
    <row r="92" spans="2:21">
      <c r="J92" s="7"/>
      <c r="P92" s="1"/>
      <c r="Q92" s="1"/>
      <c r="R92" s="1"/>
      <c r="S92" s="1"/>
      <c r="T92" s="1"/>
      <c r="U92" s="1"/>
    </row>
    <row r="93" spans="2:21">
      <c r="J93" s="7"/>
      <c r="P93" s="1"/>
      <c r="Q93" s="1"/>
      <c r="R93" s="227" t="s">
        <v>111</v>
      </c>
      <c r="S93" t="s">
        <v>112</v>
      </c>
      <c r="U93" s="1"/>
    </row>
    <row r="94" spans="2:21">
      <c r="J94" s="7"/>
      <c r="P94" s="1"/>
      <c r="Q94" s="1"/>
      <c r="U94" s="1"/>
    </row>
    <row r="95" spans="2:21">
      <c r="C95" s="233" t="s">
        <v>108</v>
      </c>
      <c r="J95" s="7"/>
      <c r="L95" s="233" t="s">
        <v>107</v>
      </c>
      <c r="P95" s="1"/>
      <c r="Q95" s="1"/>
      <c r="U95" s="1"/>
    </row>
    <row r="96" spans="2:21">
      <c r="J96" s="7"/>
      <c r="P96" s="1"/>
      <c r="Q96" s="1"/>
      <c r="R96" s="227" t="s">
        <v>102</v>
      </c>
      <c r="S96" s="226" t="s">
        <v>250</v>
      </c>
      <c r="U96" s="1"/>
    </row>
    <row r="97" spans="10:21">
      <c r="J97" s="7"/>
      <c r="P97" s="1"/>
      <c r="Q97" s="1"/>
      <c r="R97" s="227"/>
      <c r="S97" s="230" t="s">
        <v>106</v>
      </c>
      <c r="U97" s="1"/>
    </row>
    <row r="98" spans="10:21" ht="13.5" thickBot="1">
      <c r="J98" s="7"/>
      <c r="P98" s="1"/>
      <c r="Q98" s="1"/>
      <c r="R98" s="229" t="s">
        <v>184</v>
      </c>
      <c r="U98" s="1"/>
    </row>
    <row r="99" spans="10:21">
      <c r="J99" s="7"/>
      <c r="P99" s="1"/>
      <c r="Q99" s="1"/>
      <c r="R99" s="346" t="s">
        <v>126</v>
      </c>
      <c r="S99" s="459" t="s">
        <v>127</v>
      </c>
      <c r="U99" s="1"/>
    </row>
    <row r="100" spans="10:21">
      <c r="J100" s="7"/>
      <c r="P100" s="1"/>
      <c r="Q100" s="1"/>
      <c r="R100" s="348">
        <v>2018</v>
      </c>
      <c r="S100" s="460" t="s">
        <v>287</v>
      </c>
      <c r="T100" s="1"/>
      <c r="U100" s="1"/>
    </row>
    <row r="101" spans="10:21">
      <c r="J101" s="7"/>
      <c r="P101" s="1"/>
      <c r="Q101" s="1"/>
      <c r="R101" s="486">
        <v>0.112</v>
      </c>
      <c r="S101" s="460" t="s">
        <v>271</v>
      </c>
      <c r="T101" s="1"/>
      <c r="U101" s="1"/>
    </row>
    <row r="102" spans="10:21">
      <c r="J102" s="7"/>
      <c r="P102" s="1"/>
      <c r="Q102" s="1"/>
      <c r="R102" s="487">
        <v>0</v>
      </c>
      <c r="S102" s="460" t="s">
        <v>1</v>
      </c>
      <c r="T102" s="1"/>
      <c r="U102" s="1"/>
    </row>
    <row r="103" spans="10:21">
      <c r="J103" s="7"/>
      <c r="P103" s="1"/>
      <c r="Q103" s="1"/>
      <c r="R103" s="488">
        <v>0.50222415357443884</v>
      </c>
      <c r="S103" s="461" t="s">
        <v>97</v>
      </c>
      <c r="T103" s="1"/>
      <c r="U103" s="1"/>
    </row>
    <row r="104" spans="10:21">
      <c r="J104" s="7"/>
      <c r="P104" s="1"/>
      <c r="Q104" s="1"/>
      <c r="R104" s="488">
        <v>4.0794729780917298E-2</v>
      </c>
      <c r="S104" s="461" t="s">
        <v>98</v>
      </c>
      <c r="T104" s="1"/>
      <c r="U104" s="1"/>
    </row>
    <row r="105" spans="10:21">
      <c r="J105" s="7"/>
      <c r="P105" s="1"/>
      <c r="Q105" s="1"/>
      <c r="R105" s="488">
        <v>0</v>
      </c>
      <c r="S105" s="461" t="s">
        <v>99</v>
      </c>
      <c r="T105" s="1"/>
      <c r="U105" s="1"/>
    </row>
    <row r="106" spans="10:21">
      <c r="J106" s="7"/>
      <c r="P106" s="1"/>
      <c r="Q106" s="1"/>
      <c r="R106" s="488">
        <v>0</v>
      </c>
      <c r="S106" s="461" t="s">
        <v>100</v>
      </c>
      <c r="T106" s="1"/>
      <c r="U106" s="1"/>
    </row>
    <row r="107" spans="10:21">
      <c r="J107" s="7"/>
      <c r="P107" s="1"/>
      <c r="Q107" s="1"/>
      <c r="R107" s="488">
        <v>0.49777584642556127</v>
      </c>
      <c r="S107" s="458" t="s">
        <v>101</v>
      </c>
      <c r="T107" s="1"/>
      <c r="U107" s="1"/>
    </row>
    <row r="108" spans="10:21">
      <c r="J108" s="7"/>
      <c r="P108" s="1"/>
      <c r="Q108" s="1"/>
      <c r="R108" s="489">
        <v>699396112.08829069</v>
      </c>
      <c r="S108" s="462" t="s">
        <v>272</v>
      </c>
      <c r="T108" s="1"/>
      <c r="U108" s="1"/>
    </row>
    <row r="109" spans="10:21">
      <c r="J109" s="7"/>
      <c r="P109" s="1"/>
      <c r="Q109" s="1"/>
      <c r="R109" s="479">
        <v>0.38678999999999997</v>
      </c>
      <c r="S109" s="456" t="s">
        <v>273</v>
      </c>
      <c r="T109" s="1"/>
      <c r="U109" s="1"/>
    </row>
    <row r="110" spans="10:21">
      <c r="J110" s="7"/>
      <c r="P110" s="1"/>
      <c r="Q110" s="1"/>
      <c r="R110" s="450">
        <v>0</v>
      </c>
      <c r="S110" s="456" t="s">
        <v>274</v>
      </c>
      <c r="T110" s="1"/>
      <c r="U110" s="1"/>
    </row>
    <row r="111" spans="10:21">
      <c r="J111" s="7"/>
      <c r="P111" s="1"/>
      <c r="Q111" s="1"/>
      <c r="R111" s="450">
        <v>0</v>
      </c>
      <c r="S111" s="456" t="s">
        <v>275</v>
      </c>
      <c r="T111" s="1"/>
      <c r="U111" s="1"/>
    </row>
    <row r="112" spans="10:21">
      <c r="J112" s="7"/>
      <c r="P112" s="1"/>
      <c r="Q112" s="1"/>
      <c r="R112" s="450">
        <v>356158.57536569849</v>
      </c>
      <c r="S112" s="456" t="s">
        <v>288</v>
      </c>
      <c r="T112" s="1"/>
      <c r="U112" s="1"/>
    </row>
    <row r="113" spans="3:21">
      <c r="C113" s="1"/>
      <c r="D113" s="2"/>
      <c r="E113" s="1"/>
      <c r="F113" s="1"/>
      <c r="G113" s="1"/>
      <c r="H113" s="3"/>
      <c r="I113" s="1"/>
      <c r="J113" s="4"/>
      <c r="K113" s="1"/>
      <c r="L113" s="1"/>
      <c r="M113" s="1"/>
      <c r="P113" s="1"/>
      <c r="Q113" s="1"/>
      <c r="R113" s="450">
        <v>122371399.0348953</v>
      </c>
      <c r="S113" s="456" t="s">
        <v>277</v>
      </c>
      <c r="T113" s="1"/>
      <c r="U113" s="1"/>
    </row>
    <row r="114" spans="3:21">
      <c r="C114" s="1"/>
      <c r="D114" s="2"/>
      <c r="E114" s="1"/>
      <c r="F114" s="1"/>
      <c r="G114" s="1"/>
      <c r="H114" s="3"/>
      <c r="I114" s="1"/>
      <c r="J114" s="4"/>
      <c r="K114" s="1"/>
      <c r="L114" s="1"/>
      <c r="M114" s="1"/>
      <c r="P114" s="1"/>
      <c r="Q114" s="1"/>
      <c r="R114" s="450">
        <v>53321255.597391613</v>
      </c>
      <c r="S114" s="456" t="s">
        <v>278</v>
      </c>
      <c r="T114" s="1"/>
      <c r="U114" s="1"/>
    </row>
    <row r="115" spans="3:21">
      <c r="C115" s="1"/>
      <c r="D115" s="2"/>
      <c r="E115" s="1"/>
      <c r="F115" s="1"/>
      <c r="G115" s="1"/>
      <c r="H115" s="3"/>
      <c r="I115" s="1"/>
      <c r="J115" s="4"/>
      <c r="K115" s="1"/>
      <c r="L115" s="1"/>
      <c r="M115" s="1"/>
      <c r="P115" s="1"/>
      <c r="Q115" s="1"/>
      <c r="R115" s="450">
        <v>24950832.256548975</v>
      </c>
      <c r="S115" s="456" t="s">
        <v>279</v>
      </c>
      <c r="T115" s="1"/>
      <c r="U115" s="1"/>
    </row>
    <row r="116" spans="3:21">
      <c r="C116" s="1"/>
      <c r="D116" s="2"/>
      <c r="E116" s="1"/>
      <c r="F116" s="1"/>
      <c r="G116" s="1"/>
      <c r="H116" s="3"/>
      <c r="I116" s="1"/>
      <c r="J116" s="4"/>
      <c r="K116" s="1"/>
      <c r="L116" s="1"/>
      <c r="M116" s="1"/>
      <c r="P116" s="1"/>
      <c r="Q116" s="1"/>
      <c r="R116" s="450">
        <v>0</v>
      </c>
      <c r="S116" s="456" t="s">
        <v>280</v>
      </c>
      <c r="T116" s="1"/>
      <c r="U116" s="1"/>
    </row>
    <row r="117" spans="3:21">
      <c r="C117" s="1"/>
      <c r="D117" s="2"/>
      <c r="E117" s="1"/>
      <c r="F117" s="1"/>
      <c r="G117" s="1"/>
      <c r="H117" s="3"/>
      <c r="I117" s="1"/>
      <c r="J117" s="4"/>
      <c r="K117" s="1"/>
      <c r="L117" s="1"/>
      <c r="M117" s="1"/>
      <c r="P117" s="1"/>
      <c r="Q117" s="1"/>
      <c r="R117" s="450">
        <v>22297433.163791802</v>
      </c>
      <c r="S117" s="456" t="s">
        <v>281</v>
      </c>
      <c r="T117" s="1"/>
      <c r="U117" s="1"/>
    </row>
    <row r="118" spans="3:21">
      <c r="C118" s="1"/>
      <c r="D118" s="2"/>
      <c r="E118" s="1"/>
      <c r="F118" s="1"/>
      <c r="G118" s="1"/>
      <c r="H118" s="3"/>
      <c r="I118" s="1"/>
      <c r="J118" s="4"/>
      <c r="K118" s="1"/>
      <c r="L118" s="1"/>
      <c r="M118" s="1"/>
      <c r="P118" s="1"/>
      <c r="Q118" s="1"/>
      <c r="R118" s="451">
        <v>0</v>
      </c>
      <c r="S118" s="456" t="s">
        <v>104</v>
      </c>
      <c r="T118" s="1"/>
      <c r="U118" s="1"/>
    </row>
    <row r="119" spans="3:21">
      <c r="C119" s="1"/>
      <c r="D119" s="2"/>
      <c r="E119" s="1"/>
      <c r="F119" s="1"/>
      <c r="G119" s="1"/>
      <c r="H119" s="3"/>
      <c r="I119" s="1"/>
      <c r="J119" s="4"/>
      <c r="K119" s="1"/>
      <c r="L119" s="1"/>
      <c r="M119" s="1"/>
      <c r="P119" s="1"/>
      <c r="Q119" s="1"/>
      <c r="R119" s="450">
        <v>851758372.09995687</v>
      </c>
      <c r="S119" s="456" t="s">
        <v>282</v>
      </c>
      <c r="T119" s="1"/>
      <c r="U119" s="1"/>
    </row>
    <row r="120" spans="3:21">
      <c r="C120" s="1"/>
      <c r="D120" s="2"/>
      <c r="E120" s="1"/>
      <c r="F120" s="1"/>
      <c r="G120" s="1"/>
      <c r="H120" s="3"/>
      <c r="I120" s="1"/>
      <c r="J120" s="4"/>
      <c r="K120" s="1"/>
      <c r="L120" s="1"/>
      <c r="M120" s="1"/>
      <c r="P120" s="1"/>
      <c r="Q120" s="1"/>
      <c r="R120" s="451">
        <v>0.11749102697326873</v>
      </c>
      <c r="S120" s="463" t="s">
        <v>283</v>
      </c>
      <c r="T120" s="1"/>
      <c r="U120" s="1"/>
    </row>
    <row r="121" spans="3:21">
      <c r="C121" s="1"/>
      <c r="D121" s="2"/>
      <c r="E121" s="1"/>
      <c r="F121" s="1"/>
      <c r="G121" s="1"/>
      <c r="H121" s="3"/>
      <c r="I121" s="1"/>
      <c r="J121" s="4"/>
      <c r="K121" s="1"/>
      <c r="L121" s="1"/>
      <c r="M121" s="1"/>
      <c r="P121" s="1"/>
      <c r="Q121" s="1"/>
      <c r="R121" s="452">
        <v>833515368.56698298</v>
      </c>
      <c r="S121" s="461" t="s">
        <v>37</v>
      </c>
      <c r="T121" s="1"/>
      <c r="U121" s="1"/>
    </row>
    <row r="122" spans="3:21">
      <c r="C122" s="1"/>
      <c r="D122" s="2"/>
      <c r="E122" s="1"/>
      <c r="F122" s="1"/>
      <c r="G122" s="1"/>
      <c r="H122" s="3"/>
      <c r="I122" s="1"/>
      <c r="J122" s="4"/>
      <c r="K122" s="1"/>
      <c r="L122" s="1"/>
      <c r="M122" s="1"/>
      <c r="P122" s="1"/>
      <c r="Q122" s="1"/>
      <c r="R122" s="453">
        <v>984858801.61921501</v>
      </c>
      <c r="S122" s="458" t="s">
        <v>38</v>
      </c>
      <c r="T122" s="1"/>
      <c r="U122" s="1"/>
    </row>
    <row r="123" spans="3:21">
      <c r="C123" s="1"/>
      <c r="D123" s="2"/>
      <c r="E123" s="1"/>
      <c r="F123" s="1"/>
      <c r="G123" s="1"/>
      <c r="H123" s="3"/>
      <c r="I123" s="1"/>
      <c r="J123" s="4"/>
      <c r="K123" s="1"/>
      <c r="L123" s="1"/>
      <c r="M123" s="1"/>
      <c r="N123" s="1"/>
      <c r="P123" s="1"/>
      <c r="Q123" s="1"/>
      <c r="R123" s="453">
        <v>909187085.093099</v>
      </c>
      <c r="S123" s="464" t="s">
        <v>286</v>
      </c>
      <c r="T123" s="22"/>
      <c r="U123" s="1"/>
    </row>
    <row r="124" spans="3:21" ht="13.5" thickBot="1">
      <c r="C124" s="1"/>
      <c r="D124" s="2"/>
      <c r="E124" s="1"/>
      <c r="F124" s="1"/>
      <c r="G124" s="1"/>
      <c r="H124" s="3"/>
      <c r="I124" s="1"/>
      <c r="J124" s="4"/>
      <c r="K124" s="1"/>
      <c r="L124" s="1"/>
      <c r="M124" s="1"/>
      <c r="N124" s="1"/>
      <c r="P124" s="1"/>
      <c r="Q124" s="1"/>
      <c r="R124" s="454">
        <v>22297433.163791802</v>
      </c>
      <c r="S124" s="457" t="s">
        <v>258</v>
      </c>
      <c r="T124" s="1"/>
      <c r="U124" s="1"/>
    </row>
    <row r="125" spans="3:21">
      <c r="C125" s="1"/>
      <c r="D125" s="2"/>
      <c r="E125" s="1"/>
      <c r="F125" s="1"/>
      <c r="G125" s="1"/>
      <c r="H125" s="3"/>
      <c r="I125" s="1"/>
      <c r="J125" s="4"/>
      <c r="K125" s="1"/>
      <c r="L125" s="1"/>
      <c r="M125" s="1"/>
      <c r="N125" s="1"/>
      <c r="P125" s="1"/>
      <c r="Q125" s="1"/>
      <c r="R125" s="1"/>
      <c r="S125" s="1"/>
      <c r="T125" s="1"/>
      <c r="U125" s="1"/>
    </row>
    <row r="126" spans="3:21">
      <c r="C126" s="1"/>
      <c r="D126" s="2"/>
      <c r="E126" s="1"/>
      <c r="F126" s="1"/>
      <c r="G126" s="1"/>
      <c r="H126" s="3"/>
      <c r="I126" s="1"/>
      <c r="J126" s="4"/>
      <c r="K126" s="1"/>
      <c r="L126" s="1"/>
      <c r="M126" s="1"/>
      <c r="N126" s="1"/>
      <c r="P126" s="1"/>
      <c r="Q126" s="1"/>
      <c r="R126" s="227" t="s">
        <v>103</v>
      </c>
      <c r="S126" s="1" t="s">
        <v>115</v>
      </c>
      <c r="T126" s="366"/>
      <c r="U126" s="105"/>
    </row>
    <row r="127" spans="3:21" ht="13.5" thickBot="1">
      <c r="C127" s="23"/>
      <c r="D127" s="83"/>
      <c r="E127" s="23"/>
      <c r="F127" s="23"/>
      <c r="G127" s="23"/>
      <c r="H127" s="85"/>
      <c r="I127" s="1"/>
      <c r="J127" s="4"/>
      <c r="K127" s="1"/>
      <c r="L127" s="1"/>
      <c r="M127" s="1"/>
      <c r="N127" s="1"/>
      <c r="P127" s="1"/>
      <c r="Q127" s="1"/>
      <c r="R127" s="229" t="s">
        <v>185</v>
      </c>
      <c r="S127" s="1"/>
      <c r="T127" s="366"/>
      <c r="U127" s="105"/>
    </row>
    <row r="128" spans="3:21">
      <c r="C128" s="23"/>
      <c r="D128" s="83"/>
      <c r="E128" s="23"/>
      <c r="F128" s="23"/>
      <c r="G128" s="23"/>
      <c r="H128" s="85"/>
      <c r="I128" s="1"/>
      <c r="J128" s="4"/>
      <c r="K128" s="1"/>
      <c r="L128" s="1"/>
      <c r="M128" s="1"/>
      <c r="N128" s="1"/>
      <c r="P128" s="1"/>
      <c r="Q128" s="1"/>
      <c r="R128" s="231">
        <f>+M19</f>
        <v>39804485.030792631</v>
      </c>
      <c r="S128" s="1" t="str">
        <f>+K19&amp;" "&amp;M17</f>
        <v>PROJECTED YEAR Rev Require</v>
      </c>
      <c r="T128" s="366"/>
      <c r="U128" s="105"/>
    </row>
    <row r="129" spans="3:21">
      <c r="C129" s="23"/>
      <c r="D129" s="83"/>
      <c r="E129" s="23"/>
      <c r="F129" s="23"/>
      <c r="G129" s="23"/>
      <c r="H129" s="85"/>
      <c r="I129" s="1"/>
      <c r="J129" s="4"/>
      <c r="K129" s="1"/>
      <c r="L129" s="1"/>
      <c r="M129" s="1"/>
      <c r="N129" s="1"/>
      <c r="O129" s="1"/>
      <c r="P129" s="1"/>
      <c r="Q129" s="1"/>
      <c r="R129" s="232">
        <f>+N19</f>
        <v>39804485.030792631</v>
      </c>
      <c r="S129" s="1" t="str">
        <f>K19&amp;" "&amp;N17</f>
        <v>PROJECTED YEAR  W Incentives</v>
      </c>
      <c r="T129" s="1"/>
      <c r="U129" s="1"/>
    </row>
    <row r="130" spans="3:21" ht="13.5" thickBot="1">
      <c r="C130" s="23"/>
      <c r="D130" s="83"/>
      <c r="E130" s="23"/>
      <c r="F130" s="23"/>
      <c r="G130" s="23"/>
      <c r="H130" s="85"/>
      <c r="I130" s="1"/>
      <c r="J130" s="4"/>
      <c r="K130" s="1"/>
      <c r="L130" s="1"/>
      <c r="M130" s="1"/>
      <c r="N130" s="1"/>
      <c r="O130" s="1"/>
      <c r="P130" s="1"/>
      <c r="Q130" s="1"/>
      <c r="R130" s="415">
        <f>+O19</f>
        <v>0</v>
      </c>
      <c r="S130" s="1" t="str">
        <f>K19&amp;" "&amp;O17</f>
        <v>PROJECTED YEAR Incentive Amounts</v>
      </c>
      <c r="T130" s="1"/>
      <c r="U130" s="1"/>
    </row>
    <row r="131" spans="3:21">
      <c r="C131" s="23"/>
      <c r="D131" s="83"/>
      <c r="E131" s="23"/>
      <c r="F131" s="23"/>
      <c r="G131" s="23"/>
      <c r="H131" s="85"/>
      <c r="I131" s="1"/>
      <c r="J131" s="4"/>
      <c r="K131" s="1"/>
      <c r="L131" s="1"/>
      <c r="M131" s="1"/>
      <c r="N131" s="1"/>
      <c r="O131" s="1"/>
      <c r="P131" s="1"/>
      <c r="Q131" s="1"/>
      <c r="R131" s="1"/>
      <c r="S131" s="1"/>
      <c r="T131" s="1"/>
      <c r="U131" s="1"/>
    </row>
    <row r="132" spans="3:21" ht="12.75" customHeight="1">
      <c r="R132" s="1"/>
      <c r="S132" s="1"/>
    </row>
    <row r="133" spans="3:21" ht="12.75" customHeight="1">
      <c r="R133" s="227" t="s">
        <v>113</v>
      </c>
      <c r="S133" s="226" t="s">
        <v>114</v>
      </c>
    </row>
  </sheetData>
  <mergeCells count="9">
    <mergeCell ref="I82:N87"/>
    <mergeCell ref="K15:O16"/>
    <mergeCell ref="C8:H8"/>
    <mergeCell ref="C79:E80"/>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163"/>
  <sheetViews>
    <sheetView zoomScale="85" zoomScaleNormal="85" workbookViewId="0">
      <selection activeCell="F18" sqref="F18"/>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240" t="s">
        <v>189</v>
      </c>
      <c r="B1" s="1"/>
      <c r="C1" s="23"/>
      <c r="D1" s="2"/>
      <c r="E1" s="1"/>
      <c r="F1" s="100"/>
      <c r="G1" s="1"/>
      <c r="H1" s="3"/>
      <c r="J1" s="7"/>
      <c r="K1" s="110"/>
      <c r="L1" s="110"/>
      <c r="M1" s="110"/>
      <c r="P1" s="246" t="str">
        <f ca="1">"OKT Project "&amp;RIGHT(MID(CELL("filename",$A$1),FIND("]",CELL("filename",$A$1))+1,256),2)&amp;" of "&amp;COUNT('OKT.001:OKT.xyz - blank'!$P$3)-1</f>
        <v>OKT Project 17 of 19</v>
      </c>
    </row>
    <row r="2" spans="1:16" ht="18">
      <c r="B2" s="1"/>
      <c r="C2" s="1"/>
      <c r="D2" s="2"/>
      <c r="E2" s="1"/>
      <c r="F2" s="1"/>
      <c r="G2" s="1"/>
      <c r="H2" s="3"/>
      <c r="I2" s="1"/>
      <c r="J2" s="4"/>
      <c r="K2" s="1"/>
      <c r="L2" s="1"/>
      <c r="M2" s="1"/>
      <c r="N2" s="1"/>
      <c r="P2" s="247" t="s">
        <v>131</v>
      </c>
    </row>
    <row r="3" spans="1:16" ht="18.75">
      <c r="B3" s="5" t="s">
        <v>42</v>
      </c>
      <c r="C3" s="69" t="s">
        <v>43</v>
      </c>
      <c r="D3" s="2"/>
      <c r="E3" s="1"/>
      <c r="F3" s="1"/>
      <c r="G3" s="1"/>
      <c r="H3" s="3"/>
      <c r="I3" s="3"/>
      <c r="J3" s="112"/>
      <c r="K3" s="3"/>
      <c r="L3" s="3"/>
      <c r="M3" s="3"/>
      <c r="N3" s="3"/>
      <c r="O3" s="1"/>
      <c r="P3" s="237">
        <v>1</v>
      </c>
    </row>
    <row r="4" spans="1:16" ht="15.75" thickBot="1">
      <c r="C4" s="68"/>
      <c r="D4" s="2"/>
      <c r="E4" s="1"/>
      <c r="F4" s="1"/>
      <c r="G4" s="1"/>
      <c r="H4" s="3"/>
      <c r="I4" s="3"/>
      <c r="J4" s="112"/>
      <c r="K4" s="3"/>
      <c r="L4" s="3"/>
      <c r="M4" s="3"/>
      <c r="N4" s="3"/>
      <c r="O4" s="1"/>
      <c r="P4" s="1"/>
    </row>
    <row r="5" spans="1:16" ht="15">
      <c r="C5" s="113" t="s">
        <v>44</v>
      </c>
      <c r="D5" s="2"/>
      <c r="E5" s="1"/>
      <c r="F5" s="1"/>
      <c r="G5" s="114"/>
      <c r="H5" s="1" t="s">
        <v>45</v>
      </c>
      <c r="I5" s="1"/>
      <c r="J5" s="4"/>
      <c r="K5" s="115" t="s">
        <v>242</v>
      </c>
      <c r="L5" s="116"/>
      <c r="M5" s="117"/>
      <c r="N5" s="118">
        <f>VLOOKUP(I10,C17:I73,5)</f>
        <v>11642834.922050247</v>
      </c>
      <c r="P5" s="1"/>
    </row>
    <row r="6" spans="1:16" ht="15.75">
      <c r="C6" s="8"/>
      <c r="D6" s="2"/>
      <c r="E6" s="1"/>
      <c r="F6" s="1"/>
      <c r="G6" s="1"/>
      <c r="H6" s="119"/>
      <c r="I6" s="119"/>
      <c r="J6" s="120"/>
      <c r="K6" s="121" t="s">
        <v>243</v>
      </c>
      <c r="L6" s="122"/>
      <c r="M6" s="4"/>
      <c r="N6" s="123">
        <f>VLOOKUP(I10,C17:I73,6)</f>
        <v>11642834.922050247</v>
      </c>
      <c r="O6" s="1"/>
      <c r="P6" s="1"/>
    </row>
    <row r="7" spans="1:16" ht="13.5" thickBot="1">
      <c r="C7" s="124" t="s">
        <v>46</v>
      </c>
      <c r="D7" s="222" t="s">
        <v>247</v>
      </c>
      <c r="E7" s="1"/>
      <c r="F7" s="1"/>
      <c r="G7" s="1"/>
      <c r="H7" s="3"/>
      <c r="I7" s="3"/>
      <c r="J7" s="112"/>
      <c r="K7" s="125" t="s">
        <v>47</v>
      </c>
      <c r="L7" s="126"/>
      <c r="M7" s="126"/>
      <c r="N7" s="127">
        <f>+N6-N5</f>
        <v>0</v>
      </c>
      <c r="O7" s="1"/>
      <c r="P7" s="1"/>
    </row>
    <row r="8" spans="1:16" ht="13.5" thickBot="1">
      <c r="C8" s="128"/>
      <c r="D8" s="244" t="str">
        <f>IF(D10&lt;100000,"DOES NOT MEET SPP $100,000 MINIMUM INVESTMENT FOR REGIONAL BPU SHARING.","")</f>
        <v/>
      </c>
      <c r="E8" s="129"/>
      <c r="F8" s="129"/>
      <c r="G8" s="129"/>
      <c r="H8" s="129"/>
      <c r="I8" s="129"/>
      <c r="J8" s="102"/>
      <c r="K8" s="129"/>
      <c r="L8" s="129"/>
      <c r="M8" s="129"/>
      <c r="N8" s="129"/>
      <c r="O8" s="102"/>
      <c r="P8" s="23"/>
    </row>
    <row r="9" spans="1:16" ht="13.5" thickBot="1">
      <c r="C9" s="130" t="s">
        <v>48</v>
      </c>
      <c r="D9" s="224" t="s">
        <v>263</v>
      </c>
      <c r="E9" s="131"/>
      <c r="F9" s="131"/>
      <c r="G9" s="131"/>
      <c r="H9" s="131"/>
      <c r="I9" s="132"/>
      <c r="J9" s="133"/>
      <c r="O9" s="134"/>
      <c r="P9" s="4"/>
    </row>
    <row r="10" spans="1:16">
      <c r="C10" s="135" t="s">
        <v>49</v>
      </c>
      <c r="D10" s="136">
        <v>82823000</v>
      </c>
      <c r="E10" s="63" t="s">
        <v>50</v>
      </c>
      <c r="F10" s="134"/>
      <c r="G10" s="137"/>
      <c r="H10" s="137"/>
      <c r="I10" s="138">
        <f>+OKT.WS.F.BPU.ATRR.Projected!R100</f>
        <v>2018</v>
      </c>
      <c r="J10" s="133"/>
      <c r="K10" s="112" t="s">
        <v>51</v>
      </c>
      <c r="O10" s="4"/>
      <c r="P10" s="4"/>
    </row>
    <row r="11" spans="1:16">
      <c r="C11" s="139" t="s">
        <v>52</v>
      </c>
      <c r="D11" s="140">
        <v>2017</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row>
    <row r="12" spans="1:16">
      <c r="C12" s="139" t="s">
        <v>54</v>
      </c>
      <c r="D12" s="136">
        <v>12</v>
      </c>
      <c r="E12" s="139" t="s">
        <v>55</v>
      </c>
      <c r="F12" s="137"/>
      <c r="G12" s="7"/>
      <c r="H12" s="7"/>
      <c r="I12" s="143">
        <f>OKT.WS.F.BPU.ATRR.Projected!$F$78</f>
        <v>0.11749102697326873</v>
      </c>
      <c r="J12" s="144"/>
      <c r="K12" t="s">
        <v>56</v>
      </c>
      <c r="O12" s="4"/>
      <c r="P12" s="4"/>
    </row>
    <row r="13" spans="1:16">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row>
    <row r="14" spans="1:16" ht="13.5" thickBot="1">
      <c r="C14" s="139" t="s">
        <v>60</v>
      </c>
      <c r="D14" s="140" t="s">
        <v>61</v>
      </c>
      <c r="E14" s="4" t="s">
        <v>62</v>
      </c>
      <c r="F14" s="137"/>
      <c r="G14" s="7"/>
      <c r="H14" s="7"/>
      <c r="I14" s="145">
        <f>IF(D10=0,0,D10/D13)</f>
        <v>2031199.4497102054</v>
      </c>
      <c r="J14" s="112"/>
      <c r="K14" s="112"/>
      <c r="L14" s="112"/>
      <c r="M14" s="112"/>
      <c r="N14" s="112"/>
      <c r="O14" s="4"/>
      <c r="P14" s="4"/>
    </row>
    <row r="15" spans="1:16"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row>
    <row r="16" spans="1:16"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row>
    <row r="17" spans="2:16">
      <c r="B17" t="str">
        <f t="shared" ref="B17:B71" si="0">IF(D17=F16,"","IU")</f>
        <v>IU</v>
      </c>
      <c r="C17" s="155">
        <f>IF(D11= "","-",D11)</f>
        <v>2017</v>
      </c>
      <c r="D17" s="392">
        <v>0</v>
      </c>
      <c r="E17" s="400">
        <v>0</v>
      </c>
      <c r="F17" s="392">
        <v>82823000</v>
      </c>
      <c r="G17" s="400">
        <v>4552779.1652027937</v>
      </c>
      <c r="H17" s="398">
        <v>4552779.1652027937</v>
      </c>
      <c r="I17" s="158">
        <f t="shared" ref="I17:I71" si="1">H17-G17</f>
        <v>0</v>
      </c>
      <c r="J17" s="158"/>
      <c r="K17" s="318">
        <f>+G17</f>
        <v>4552779.1652027937</v>
      </c>
      <c r="L17" s="159">
        <f t="shared" ref="L17:L71" si="2">IF(K17&lt;&gt;0,+G17-K17,0)</f>
        <v>0</v>
      </c>
      <c r="M17" s="318">
        <f>+H17</f>
        <v>4552779.1652027937</v>
      </c>
      <c r="N17" s="159">
        <f t="shared" ref="N17:N71" si="3">IF(M17&lt;&gt;0,+H17-M17,0)</f>
        <v>0</v>
      </c>
      <c r="O17" s="160">
        <f t="shared" ref="O17:O71" si="4">+N17-L17</f>
        <v>0</v>
      </c>
      <c r="P17" s="4"/>
    </row>
    <row r="18" spans="2:16">
      <c r="B18" t="str">
        <f t="shared" si="0"/>
        <v/>
      </c>
      <c r="C18" s="155">
        <f>IF(D11="","-",+C17+1)</f>
        <v>2018</v>
      </c>
      <c r="D18" s="394">
        <v>82823000</v>
      </c>
      <c r="E18" s="393">
        <v>2031199.4497102054</v>
      </c>
      <c r="F18" s="394">
        <v>80791800.550289795</v>
      </c>
      <c r="G18" s="393">
        <v>11642834.922050247</v>
      </c>
      <c r="H18" s="398">
        <v>11642834.922050247</v>
      </c>
      <c r="I18" s="158">
        <f t="shared" si="1"/>
        <v>0</v>
      </c>
      <c r="J18" s="158"/>
      <c r="K18" s="355">
        <f>+G18</f>
        <v>11642834.922050247</v>
      </c>
      <c r="L18" s="360">
        <f t="shared" si="2"/>
        <v>0</v>
      </c>
      <c r="M18" s="355">
        <f>+H18</f>
        <v>11642834.922050247</v>
      </c>
      <c r="N18" s="160">
        <f t="shared" si="3"/>
        <v>0</v>
      </c>
      <c r="O18" s="160">
        <f t="shared" si="4"/>
        <v>0</v>
      </c>
      <c r="P18" s="4"/>
    </row>
    <row r="19" spans="2:16">
      <c r="B19" t="str">
        <f t="shared" si="0"/>
        <v/>
      </c>
      <c r="C19" s="155">
        <f>IF(D11="","-",+C18+1)</f>
        <v>2019</v>
      </c>
      <c r="D19" s="164">
        <f>IF(F18+SUM(E$17:E18)=D$10,F18,D$10-SUM(E$17:E18))</f>
        <v>80791800.550289795</v>
      </c>
      <c r="E19" s="162">
        <f t="shared" ref="E19:E49" si="5">IF(+I$14&lt;F18,I$14,D19)</f>
        <v>2031199.4497102054</v>
      </c>
      <c r="F19" s="161">
        <f t="shared" ref="F19:F71" si="6">+D19-E19</f>
        <v>78760601.10057959</v>
      </c>
      <c r="G19" s="163">
        <f t="shared" ref="G19:G71" si="7">(D19+F19)/2*I$12+E19</f>
        <v>11404187.212716255</v>
      </c>
      <c r="H19" s="145">
        <f t="shared" ref="H19:H71" si="8">+(D19+F19)/2*I$13+E19</f>
        <v>11404187.212716255</v>
      </c>
      <c r="I19" s="158">
        <f t="shared" si="1"/>
        <v>0</v>
      </c>
      <c r="J19" s="158"/>
      <c r="K19" s="316"/>
      <c r="L19" s="160">
        <f t="shared" si="2"/>
        <v>0</v>
      </c>
      <c r="M19" s="316"/>
      <c r="N19" s="160">
        <f t="shared" si="3"/>
        <v>0</v>
      </c>
      <c r="O19" s="160">
        <f t="shared" si="4"/>
        <v>0</v>
      </c>
      <c r="P19" s="4"/>
    </row>
    <row r="20" spans="2:16">
      <c r="B20" t="str">
        <f t="shared" si="0"/>
        <v/>
      </c>
      <c r="C20" s="155">
        <f>IF(D11="","-",+C19+1)</f>
        <v>2020</v>
      </c>
      <c r="D20" s="164">
        <f>IF(F19+SUM(E$17:E19)=D$10,F19,D$10-SUM(E$17:E19))</f>
        <v>78760601.10057959</v>
      </c>
      <c r="E20" s="162">
        <f t="shared" si="5"/>
        <v>2031199.4497102054</v>
      </c>
      <c r="F20" s="161">
        <f t="shared" si="6"/>
        <v>76729401.650869384</v>
      </c>
      <c r="G20" s="163">
        <f t="shared" si="7"/>
        <v>11165539.503382266</v>
      </c>
      <c r="H20" s="145">
        <f t="shared" si="8"/>
        <v>11165539.503382266</v>
      </c>
      <c r="I20" s="158">
        <f t="shared" si="1"/>
        <v>0</v>
      </c>
      <c r="J20" s="158"/>
      <c r="K20" s="316"/>
      <c r="L20" s="160">
        <f t="shared" si="2"/>
        <v>0</v>
      </c>
      <c r="M20" s="316"/>
      <c r="N20" s="160">
        <f t="shared" si="3"/>
        <v>0</v>
      </c>
      <c r="O20" s="160">
        <f t="shared" si="4"/>
        <v>0</v>
      </c>
      <c r="P20" s="4"/>
    </row>
    <row r="21" spans="2:16">
      <c r="B21" t="str">
        <f t="shared" si="0"/>
        <v/>
      </c>
      <c r="C21" s="155">
        <f>IF(D11="","-",+C20+1)</f>
        <v>2021</v>
      </c>
      <c r="D21" s="164">
        <f>IF(F20+SUM(E$17:E20)=D$10,F20,D$10-SUM(E$17:E20))</f>
        <v>76729401.650869384</v>
      </c>
      <c r="E21" s="162">
        <f t="shared" si="5"/>
        <v>2031199.4497102054</v>
      </c>
      <c r="F21" s="161">
        <f t="shared" si="6"/>
        <v>74698202.201159179</v>
      </c>
      <c r="G21" s="163">
        <f t="shared" si="7"/>
        <v>10926891.794048274</v>
      </c>
      <c r="H21" s="145">
        <f t="shared" si="8"/>
        <v>10926891.794048274</v>
      </c>
      <c r="I21" s="158">
        <f t="shared" si="1"/>
        <v>0</v>
      </c>
      <c r="J21" s="158"/>
      <c r="K21" s="316"/>
      <c r="L21" s="160">
        <f t="shared" si="2"/>
        <v>0</v>
      </c>
      <c r="M21" s="316"/>
      <c r="N21" s="160">
        <f t="shared" si="3"/>
        <v>0</v>
      </c>
      <c r="O21" s="160">
        <f t="shared" si="4"/>
        <v>0</v>
      </c>
      <c r="P21" s="4"/>
    </row>
    <row r="22" spans="2:16">
      <c r="B22" t="str">
        <f t="shared" si="0"/>
        <v/>
      </c>
      <c r="C22" s="155">
        <f>IF(D11="","-",+C21+1)</f>
        <v>2022</v>
      </c>
      <c r="D22" s="164">
        <f>IF(F21+SUM(E$17:E21)=D$10,F21,D$10-SUM(E$17:E21))</f>
        <v>74698202.201159179</v>
      </c>
      <c r="E22" s="162">
        <f t="shared" si="5"/>
        <v>2031199.4497102054</v>
      </c>
      <c r="F22" s="161">
        <f t="shared" si="6"/>
        <v>72667002.751448974</v>
      </c>
      <c r="G22" s="163">
        <f t="shared" si="7"/>
        <v>10688244.084714286</v>
      </c>
      <c r="H22" s="145">
        <f t="shared" si="8"/>
        <v>10688244.084714286</v>
      </c>
      <c r="I22" s="158">
        <f t="shared" si="1"/>
        <v>0</v>
      </c>
      <c r="J22" s="158"/>
      <c r="K22" s="316"/>
      <c r="L22" s="160">
        <f t="shared" si="2"/>
        <v>0</v>
      </c>
      <c r="M22" s="316"/>
      <c r="N22" s="160">
        <f t="shared" si="3"/>
        <v>0</v>
      </c>
      <c r="O22" s="160">
        <f t="shared" si="4"/>
        <v>0</v>
      </c>
      <c r="P22" s="4"/>
    </row>
    <row r="23" spans="2:16">
      <c r="B23" t="str">
        <f t="shared" si="0"/>
        <v/>
      </c>
      <c r="C23" s="155">
        <f>IF(D11="","-",+C22+1)</f>
        <v>2023</v>
      </c>
      <c r="D23" s="164">
        <f>IF(F22+SUM(E$17:E22)=D$10,F22,D$10-SUM(E$17:E22))</f>
        <v>72667002.751448974</v>
      </c>
      <c r="E23" s="162">
        <f t="shared" si="5"/>
        <v>2031199.4497102054</v>
      </c>
      <c r="F23" s="161">
        <f t="shared" si="6"/>
        <v>70635803.301738769</v>
      </c>
      <c r="G23" s="163">
        <f t="shared" si="7"/>
        <v>10449596.375380293</v>
      </c>
      <c r="H23" s="145">
        <f t="shared" si="8"/>
        <v>10449596.375380293</v>
      </c>
      <c r="I23" s="158">
        <f t="shared" si="1"/>
        <v>0</v>
      </c>
      <c r="J23" s="158"/>
      <c r="K23" s="316"/>
      <c r="L23" s="160">
        <f t="shared" si="2"/>
        <v>0</v>
      </c>
      <c r="M23" s="316"/>
      <c r="N23" s="160">
        <f t="shared" si="3"/>
        <v>0</v>
      </c>
      <c r="O23" s="160">
        <f t="shared" si="4"/>
        <v>0</v>
      </c>
      <c r="P23" s="4"/>
    </row>
    <row r="24" spans="2:16">
      <c r="B24" t="str">
        <f t="shared" si="0"/>
        <v/>
      </c>
      <c r="C24" s="155">
        <f>IF(D11="","-",+C23+1)</f>
        <v>2024</v>
      </c>
      <c r="D24" s="164">
        <f>IF(F23+SUM(E$17:E23)=D$10,F23,D$10-SUM(E$17:E23))</f>
        <v>70635803.301738769</v>
      </c>
      <c r="E24" s="162">
        <f t="shared" si="5"/>
        <v>2031199.4497102054</v>
      </c>
      <c r="F24" s="161">
        <f t="shared" si="6"/>
        <v>68604603.852028564</v>
      </c>
      <c r="G24" s="163">
        <f t="shared" si="7"/>
        <v>10210948.666046305</v>
      </c>
      <c r="H24" s="145">
        <f t="shared" si="8"/>
        <v>10210948.666046305</v>
      </c>
      <c r="I24" s="158">
        <f t="shared" si="1"/>
        <v>0</v>
      </c>
      <c r="J24" s="158"/>
      <c r="K24" s="316"/>
      <c r="L24" s="160">
        <f t="shared" si="2"/>
        <v>0</v>
      </c>
      <c r="M24" s="316"/>
      <c r="N24" s="160">
        <f t="shared" si="3"/>
        <v>0</v>
      </c>
      <c r="O24" s="160">
        <f t="shared" si="4"/>
        <v>0</v>
      </c>
      <c r="P24" s="4"/>
    </row>
    <row r="25" spans="2:16">
      <c r="B25" t="str">
        <f t="shared" si="0"/>
        <v/>
      </c>
      <c r="C25" s="155">
        <f>IF(D11="","-",+C24+1)</f>
        <v>2025</v>
      </c>
      <c r="D25" s="164">
        <f>IF(F24+SUM(E$17:E24)=D$10,F24,D$10-SUM(E$17:E24))</f>
        <v>68604603.852028564</v>
      </c>
      <c r="E25" s="162">
        <f t="shared" si="5"/>
        <v>2031199.4497102054</v>
      </c>
      <c r="F25" s="161">
        <f t="shared" si="6"/>
        <v>66573404.402318358</v>
      </c>
      <c r="G25" s="163">
        <f t="shared" si="7"/>
        <v>9972300.956712313</v>
      </c>
      <c r="H25" s="145">
        <f t="shared" si="8"/>
        <v>9972300.956712313</v>
      </c>
      <c r="I25" s="158">
        <f t="shared" si="1"/>
        <v>0</v>
      </c>
      <c r="J25" s="158"/>
      <c r="K25" s="316"/>
      <c r="L25" s="160">
        <f t="shared" si="2"/>
        <v>0</v>
      </c>
      <c r="M25" s="316"/>
      <c r="N25" s="160">
        <f t="shared" si="3"/>
        <v>0</v>
      </c>
      <c r="O25" s="160">
        <f t="shared" si="4"/>
        <v>0</v>
      </c>
      <c r="P25" s="4"/>
    </row>
    <row r="26" spans="2:16">
      <c r="B26" t="str">
        <f t="shared" si="0"/>
        <v/>
      </c>
      <c r="C26" s="155">
        <f>IF(D11="","-",+C25+1)</f>
        <v>2026</v>
      </c>
      <c r="D26" s="164">
        <f>IF(F25+SUM(E$17:E25)=D$10,F25,D$10-SUM(E$17:E25))</f>
        <v>66573404.402318358</v>
      </c>
      <c r="E26" s="162">
        <f t="shared" si="5"/>
        <v>2031199.4497102054</v>
      </c>
      <c r="F26" s="161">
        <f t="shared" si="6"/>
        <v>64542204.952608153</v>
      </c>
      <c r="G26" s="163">
        <f t="shared" si="7"/>
        <v>9733653.2473783232</v>
      </c>
      <c r="H26" s="145">
        <f t="shared" si="8"/>
        <v>9733653.2473783232</v>
      </c>
      <c r="I26" s="158">
        <f t="shared" si="1"/>
        <v>0</v>
      </c>
      <c r="J26" s="158"/>
      <c r="K26" s="316"/>
      <c r="L26" s="160">
        <f t="shared" si="2"/>
        <v>0</v>
      </c>
      <c r="M26" s="316"/>
      <c r="N26" s="160">
        <f t="shared" si="3"/>
        <v>0</v>
      </c>
      <c r="O26" s="160">
        <f t="shared" si="4"/>
        <v>0</v>
      </c>
      <c r="P26" s="4"/>
    </row>
    <row r="27" spans="2:16">
      <c r="B27" t="str">
        <f t="shared" si="0"/>
        <v/>
      </c>
      <c r="C27" s="155">
        <f>IF(D11="","-",+C26+1)</f>
        <v>2027</v>
      </c>
      <c r="D27" s="164">
        <f>IF(F26+SUM(E$17:E26)=D$10,F26,D$10-SUM(E$17:E26))</f>
        <v>64542204.952608153</v>
      </c>
      <c r="E27" s="162">
        <f t="shared" si="5"/>
        <v>2031199.4497102054</v>
      </c>
      <c r="F27" s="161">
        <f t="shared" si="6"/>
        <v>62511005.502897948</v>
      </c>
      <c r="G27" s="163">
        <f t="shared" si="7"/>
        <v>9495005.5380443335</v>
      </c>
      <c r="H27" s="145">
        <f t="shared" si="8"/>
        <v>9495005.5380443335</v>
      </c>
      <c r="I27" s="158">
        <f t="shared" si="1"/>
        <v>0</v>
      </c>
      <c r="J27" s="158"/>
      <c r="K27" s="316"/>
      <c r="L27" s="160">
        <f t="shared" si="2"/>
        <v>0</v>
      </c>
      <c r="M27" s="316"/>
      <c r="N27" s="160">
        <f t="shared" si="3"/>
        <v>0</v>
      </c>
      <c r="O27" s="160">
        <f t="shared" si="4"/>
        <v>0</v>
      </c>
      <c r="P27" s="4"/>
    </row>
    <row r="28" spans="2:16">
      <c r="B28" t="str">
        <f t="shared" si="0"/>
        <v/>
      </c>
      <c r="C28" s="155">
        <f>IF(D11="","-",+C27+1)</f>
        <v>2028</v>
      </c>
      <c r="D28" s="164">
        <f>IF(F27+SUM(E$17:E27)=D$10,F27,D$10-SUM(E$17:E27))</f>
        <v>62511005.502897948</v>
      </c>
      <c r="E28" s="162">
        <f t="shared" si="5"/>
        <v>2031199.4497102054</v>
      </c>
      <c r="F28" s="161">
        <f t="shared" si="6"/>
        <v>60479806.053187743</v>
      </c>
      <c r="G28" s="163">
        <f t="shared" si="7"/>
        <v>9256357.8287103437</v>
      </c>
      <c r="H28" s="145">
        <f t="shared" si="8"/>
        <v>9256357.8287103437</v>
      </c>
      <c r="I28" s="158">
        <f t="shared" si="1"/>
        <v>0</v>
      </c>
      <c r="J28" s="158"/>
      <c r="K28" s="316"/>
      <c r="L28" s="160">
        <f t="shared" si="2"/>
        <v>0</v>
      </c>
      <c r="M28" s="316"/>
      <c r="N28" s="160">
        <f t="shared" si="3"/>
        <v>0</v>
      </c>
      <c r="O28" s="160">
        <f t="shared" si="4"/>
        <v>0</v>
      </c>
      <c r="P28" s="4"/>
    </row>
    <row r="29" spans="2:16">
      <c r="B29" t="str">
        <f t="shared" si="0"/>
        <v/>
      </c>
      <c r="C29" s="155">
        <f>IF(D11="","-",+C28+1)</f>
        <v>2029</v>
      </c>
      <c r="D29" s="164">
        <f>IF(F28+SUM(E$17:E28)=D$10,F28,D$10-SUM(E$17:E28))</f>
        <v>60479806.053187743</v>
      </c>
      <c r="E29" s="162">
        <f t="shared" si="5"/>
        <v>2031199.4497102054</v>
      </c>
      <c r="F29" s="161">
        <f t="shared" si="6"/>
        <v>58448606.603477538</v>
      </c>
      <c r="G29" s="163">
        <f t="shared" si="7"/>
        <v>9017710.1193763521</v>
      </c>
      <c r="H29" s="145">
        <f t="shared" si="8"/>
        <v>9017710.1193763521</v>
      </c>
      <c r="I29" s="158">
        <f t="shared" si="1"/>
        <v>0</v>
      </c>
      <c r="J29" s="158"/>
      <c r="K29" s="316"/>
      <c r="L29" s="160">
        <f t="shared" si="2"/>
        <v>0</v>
      </c>
      <c r="M29" s="316"/>
      <c r="N29" s="160">
        <f t="shared" si="3"/>
        <v>0</v>
      </c>
      <c r="O29" s="160">
        <f t="shared" si="4"/>
        <v>0</v>
      </c>
      <c r="P29" s="4"/>
    </row>
    <row r="30" spans="2:16">
      <c r="B30" t="str">
        <f t="shared" si="0"/>
        <v/>
      </c>
      <c r="C30" s="155">
        <f>IF(D11="","-",+C29+1)</f>
        <v>2030</v>
      </c>
      <c r="D30" s="164">
        <f>IF(F29+SUM(E$17:E29)=D$10,F29,D$10-SUM(E$17:E29))</f>
        <v>58448606.603477538</v>
      </c>
      <c r="E30" s="162">
        <f t="shared" si="5"/>
        <v>2031199.4497102054</v>
      </c>
      <c r="F30" s="161">
        <f t="shared" si="6"/>
        <v>56417407.153767332</v>
      </c>
      <c r="G30" s="163">
        <f t="shared" si="7"/>
        <v>8779062.4100423623</v>
      </c>
      <c r="H30" s="145">
        <f t="shared" si="8"/>
        <v>8779062.4100423623</v>
      </c>
      <c r="I30" s="158">
        <f t="shared" si="1"/>
        <v>0</v>
      </c>
      <c r="J30" s="158"/>
      <c r="K30" s="316"/>
      <c r="L30" s="160">
        <f t="shared" si="2"/>
        <v>0</v>
      </c>
      <c r="M30" s="316"/>
      <c r="N30" s="160">
        <f t="shared" si="3"/>
        <v>0</v>
      </c>
      <c r="O30" s="160">
        <f t="shared" si="4"/>
        <v>0</v>
      </c>
      <c r="P30" s="4"/>
    </row>
    <row r="31" spans="2:16">
      <c r="B31" t="str">
        <f t="shared" si="0"/>
        <v/>
      </c>
      <c r="C31" s="155">
        <f>IF(D11="","-",+C30+1)</f>
        <v>2031</v>
      </c>
      <c r="D31" s="164">
        <f>IF(F30+SUM(E$17:E30)=D$10,F30,D$10-SUM(E$17:E30))</f>
        <v>56417407.153767332</v>
      </c>
      <c r="E31" s="162">
        <f t="shared" si="5"/>
        <v>2031199.4497102054</v>
      </c>
      <c r="F31" s="161">
        <f t="shared" si="6"/>
        <v>54386207.704057127</v>
      </c>
      <c r="G31" s="163">
        <f t="shared" si="7"/>
        <v>8540414.7007083725</v>
      </c>
      <c r="H31" s="145">
        <f t="shared" si="8"/>
        <v>8540414.7007083725</v>
      </c>
      <c r="I31" s="158">
        <f t="shared" si="1"/>
        <v>0</v>
      </c>
      <c r="J31" s="158"/>
      <c r="K31" s="316"/>
      <c r="L31" s="160">
        <f t="shared" si="2"/>
        <v>0</v>
      </c>
      <c r="M31" s="316"/>
      <c r="N31" s="160">
        <f t="shared" si="3"/>
        <v>0</v>
      </c>
      <c r="O31" s="160">
        <f t="shared" si="4"/>
        <v>0</v>
      </c>
      <c r="P31" s="4"/>
    </row>
    <row r="32" spans="2:16">
      <c r="B32" t="str">
        <f t="shared" si="0"/>
        <v/>
      </c>
      <c r="C32" s="155">
        <f>IF(D11="","-",+C31+1)</f>
        <v>2032</v>
      </c>
      <c r="D32" s="164">
        <f>IF(F31+SUM(E$17:E31)=D$10,F31,D$10-SUM(E$17:E31))</f>
        <v>54386207.704057127</v>
      </c>
      <c r="E32" s="162">
        <f t="shared" si="5"/>
        <v>2031199.4497102054</v>
      </c>
      <c r="F32" s="161">
        <f t="shared" si="6"/>
        <v>52355008.254346922</v>
      </c>
      <c r="G32" s="163">
        <f t="shared" si="7"/>
        <v>8301766.9913743818</v>
      </c>
      <c r="H32" s="145">
        <f t="shared" si="8"/>
        <v>8301766.9913743818</v>
      </c>
      <c r="I32" s="158">
        <f t="shared" si="1"/>
        <v>0</v>
      </c>
      <c r="J32" s="158"/>
      <c r="K32" s="316"/>
      <c r="L32" s="160">
        <f t="shared" si="2"/>
        <v>0</v>
      </c>
      <c r="M32" s="316"/>
      <c r="N32" s="160">
        <f t="shared" si="3"/>
        <v>0</v>
      </c>
      <c r="O32" s="160">
        <f t="shared" si="4"/>
        <v>0</v>
      </c>
      <c r="P32" s="4"/>
    </row>
    <row r="33" spans="2:16">
      <c r="B33" t="str">
        <f t="shared" si="0"/>
        <v/>
      </c>
      <c r="C33" s="155">
        <f>IF(D11="","-",+C32+1)</f>
        <v>2033</v>
      </c>
      <c r="D33" s="164">
        <f>IF(F32+SUM(E$17:E32)=D$10,F32,D$10-SUM(E$17:E32))</f>
        <v>52355008.254346922</v>
      </c>
      <c r="E33" s="162">
        <f t="shared" si="5"/>
        <v>2031199.4497102054</v>
      </c>
      <c r="F33" s="161">
        <f t="shared" si="6"/>
        <v>50323808.804636717</v>
      </c>
      <c r="G33" s="163">
        <f t="shared" si="7"/>
        <v>8063119.2820403911</v>
      </c>
      <c r="H33" s="145">
        <f t="shared" si="8"/>
        <v>8063119.2820403911</v>
      </c>
      <c r="I33" s="158">
        <f t="shared" si="1"/>
        <v>0</v>
      </c>
      <c r="J33" s="158"/>
      <c r="K33" s="316"/>
      <c r="L33" s="160">
        <f t="shared" si="2"/>
        <v>0</v>
      </c>
      <c r="M33" s="316"/>
      <c r="N33" s="160">
        <f t="shared" si="3"/>
        <v>0</v>
      </c>
      <c r="O33" s="160">
        <f t="shared" si="4"/>
        <v>0</v>
      </c>
      <c r="P33" s="4"/>
    </row>
    <row r="34" spans="2:16">
      <c r="B34" t="str">
        <f t="shared" si="0"/>
        <v/>
      </c>
      <c r="C34" s="155">
        <f>IF(D11="","-",+C33+1)</f>
        <v>2034</v>
      </c>
      <c r="D34" s="164">
        <f>IF(F33+SUM(E$17:E33)=D$10,F33,D$10-SUM(E$17:E33))</f>
        <v>50323808.804636717</v>
      </c>
      <c r="E34" s="162">
        <f t="shared" si="5"/>
        <v>2031199.4497102054</v>
      </c>
      <c r="F34" s="161">
        <f t="shared" si="6"/>
        <v>48292609.354926512</v>
      </c>
      <c r="G34" s="163">
        <f t="shared" si="7"/>
        <v>7824471.5727064004</v>
      </c>
      <c r="H34" s="145">
        <f t="shared" si="8"/>
        <v>7824471.5727064004</v>
      </c>
      <c r="I34" s="158">
        <f t="shared" si="1"/>
        <v>0</v>
      </c>
      <c r="J34" s="158"/>
      <c r="K34" s="316"/>
      <c r="L34" s="160">
        <f t="shared" si="2"/>
        <v>0</v>
      </c>
      <c r="M34" s="316"/>
      <c r="N34" s="160">
        <f t="shared" si="3"/>
        <v>0</v>
      </c>
      <c r="O34" s="160">
        <f t="shared" si="4"/>
        <v>0</v>
      </c>
      <c r="P34" s="4"/>
    </row>
    <row r="35" spans="2:16">
      <c r="B35" t="str">
        <f t="shared" si="0"/>
        <v/>
      </c>
      <c r="C35" s="155">
        <f>IF(D11="","-",+C34+1)</f>
        <v>2035</v>
      </c>
      <c r="D35" s="164">
        <f>IF(F34+SUM(E$17:E34)=D$10,F34,D$10-SUM(E$17:E34))</f>
        <v>48292609.354926512</v>
      </c>
      <c r="E35" s="162">
        <f t="shared" si="5"/>
        <v>2031199.4497102054</v>
      </c>
      <c r="F35" s="161">
        <f t="shared" si="6"/>
        <v>46261409.905216306</v>
      </c>
      <c r="G35" s="163">
        <f t="shared" si="7"/>
        <v>7585823.8633724106</v>
      </c>
      <c r="H35" s="145">
        <f t="shared" si="8"/>
        <v>7585823.8633724106</v>
      </c>
      <c r="I35" s="158">
        <f t="shared" si="1"/>
        <v>0</v>
      </c>
      <c r="J35" s="158"/>
      <c r="K35" s="316"/>
      <c r="L35" s="160">
        <f t="shared" si="2"/>
        <v>0</v>
      </c>
      <c r="M35" s="316"/>
      <c r="N35" s="160">
        <f t="shared" si="3"/>
        <v>0</v>
      </c>
      <c r="O35" s="160">
        <f t="shared" si="4"/>
        <v>0</v>
      </c>
      <c r="P35" s="4"/>
    </row>
    <row r="36" spans="2:16">
      <c r="B36" t="str">
        <f t="shared" si="0"/>
        <v/>
      </c>
      <c r="C36" s="155">
        <f>IF(D11="","-",+C35+1)</f>
        <v>2036</v>
      </c>
      <c r="D36" s="164">
        <f>IF(F35+SUM(E$17:E35)=D$10,F35,D$10-SUM(E$17:E35))</f>
        <v>46261409.905216306</v>
      </c>
      <c r="E36" s="162">
        <f t="shared" si="5"/>
        <v>2031199.4497102054</v>
      </c>
      <c r="F36" s="161">
        <f t="shared" si="6"/>
        <v>44230210.455506101</v>
      </c>
      <c r="G36" s="163">
        <f t="shared" si="7"/>
        <v>7347176.1540384199</v>
      </c>
      <c r="H36" s="145">
        <f t="shared" si="8"/>
        <v>7347176.1540384199</v>
      </c>
      <c r="I36" s="158">
        <f t="shared" si="1"/>
        <v>0</v>
      </c>
      <c r="J36" s="158"/>
      <c r="K36" s="316"/>
      <c r="L36" s="160">
        <f t="shared" si="2"/>
        <v>0</v>
      </c>
      <c r="M36" s="316"/>
      <c r="N36" s="160">
        <f t="shared" si="3"/>
        <v>0</v>
      </c>
      <c r="O36" s="160">
        <f t="shared" si="4"/>
        <v>0</v>
      </c>
      <c r="P36" s="4"/>
    </row>
    <row r="37" spans="2:16">
      <c r="B37" t="str">
        <f t="shared" si="0"/>
        <v/>
      </c>
      <c r="C37" s="155">
        <f>IF(D11="","-",+C36+1)</f>
        <v>2037</v>
      </c>
      <c r="D37" s="164">
        <f>IF(F36+SUM(E$17:E36)=D$10,F36,D$10-SUM(E$17:E36))</f>
        <v>44230210.455506101</v>
      </c>
      <c r="E37" s="162">
        <f t="shared" si="5"/>
        <v>2031199.4497102054</v>
      </c>
      <c r="F37" s="161">
        <f t="shared" si="6"/>
        <v>42199011.005795896</v>
      </c>
      <c r="G37" s="163">
        <f t="shared" si="7"/>
        <v>7108528.4447044302</v>
      </c>
      <c r="H37" s="145">
        <f t="shared" si="8"/>
        <v>7108528.4447044302</v>
      </c>
      <c r="I37" s="158">
        <f t="shared" si="1"/>
        <v>0</v>
      </c>
      <c r="J37" s="158"/>
      <c r="K37" s="316"/>
      <c r="L37" s="160">
        <f t="shared" si="2"/>
        <v>0</v>
      </c>
      <c r="M37" s="316"/>
      <c r="N37" s="160">
        <f t="shared" si="3"/>
        <v>0</v>
      </c>
      <c r="O37" s="160">
        <f t="shared" si="4"/>
        <v>0</v>
      </c>
      <c r="P37" s="4"/>
    </row>
    <row r="38" spans="2:16">
      <c r="B38" t="str">
        <f t="shared" si="0"/>
        <v/>
      </c>
      <c r="C38" s="155">
        <f>IF(D11="","-",+C37+1)</f>
        <v>2038</v>
      </c>
      <c r="D38" s="164">
        <f>IF(F37+SUM(E$17:E37)=D$10,F37,D$10-SUM(E$17:E37))</f>
        <v>42199011.005795896</v>
      </c>
      <c r="E38" s="162">
        <f t="shared" si="5"/>
        <v>2031199.4497102054</v>
      </c>
      <c r="F38" s="161">
        <f t="shared" si="6"/>
        <v>40167811.556085691</v>
      </c>
      <c r="G38" s="163">
        <f t="shared" si="7"/>
        <v>6869880.7353704395</v>
      </c>
      <c r="H38" s="145">
        <f t="shared" si="8"/>
        <v>6869880.7353704395</v>
      </c>
      <c r="I38" s="158">
        <f t="shared" si="1"/>
        <v>0</v>
      </c>
      <c r="J38" s="158"/>
      <c r="K38" s="316"/>
      <c r="L38" s="160">
        <f t="shared" si="2"/>
        <v>0</v>
      </c>
      <c r="M38" s="316"/>
      <c r="N38" s="160">
        <f t="shared" si="3"/>
        <v>0</v>
      </c>
      <c r="O38" s="160">
        <f t="shared" si="4"/>
        <v>0</v>
      </c>
      <c r="P38" s="4"/>
    </row>
    <row r="39" spans="2:16">
      <c r="B39" t="str">
        <f t="shared" si="0"/>
        <v/>
      </c>
      <c r="C39" s="155">
        <f>IF(D11="","-",+C38+1)</f>
        <v>2039</v>
      </c>
      <c r="D39" s="164">
        <f>IF(F38+SUM(E$17:E38)=D$10,F38,D$10-SUM(E$17:E38))</f>
        <v>40167811.556085691</v>
      </c>
      <c r="E39" s="162">
        <f t="shared" si="5"/>
        <v>2031199.4497102054</v>
      </c>
      <c r="F39" s="161">
        <f t="shared" si="6"/>
        <v>38136612.106375486</v>
      </c>
      <c r="G39" s="163">
        <f t="shared" si="7"/>
        <v>6631233.0260364497</v>
      </c>
      <c r="H39" s="145">
        <f t="shared" si="8"/>
        <v>6631233.0260364497</v>
      </c>
      <c r="I39" s="158">
        <f t="shared" si="1"/>
        <v>0</v>
      </c>
      <c r="J39" s="158"/>
      <c r="K39" s="316"/>
      <c r="L39" s="160">
        <f t="shared" si="2"/>
        <v>0</v>
      </c>
      <c r="M39" s="316"/>
      <c r="N39" s="160">
        <f t="shared" si="3"/>
        <v>0</v>
      </c>
      <c r="O39" s="160">
        <f t="shared" si="4"/>
        <v>0</v>
      </c>
      <c r="P39" s="4"/>
    </row>
    <row r="40" spans="2:16">
      <c r="B40" t="str">
        <f t="shared" si="0"/>
        <v/>
      </c>
      <c r="C40" s="155">
        <f>IF(D11="","-",+C39+1)</f>
        <v>2040</v>
      </c>
      <c r="D40" s="164">
        <f>IF(F39+SUM(E$17:E39)=D$10,F39,D$10-SUM(E$17:E39))</f>
        <v>38136612.106375486</v>
      </c>
      <c r="E40" s="162">
        <f t="shared" si="5"/>
        <v>2031199.4497102054</v>
      </c>
      <c r="F40" s="161">
        <f t="shared" si="6"/>
        <v>36105412.65666528</v>
      </c>
      <c r="G40" s="163">
        <f t="shared" si="7"/>
        <v>6392585.316702459</v>
      </c>
      <c r="H40" s="145">
        <f t="shared" si="8"/>
        <v>6392585.316702459</v>
      </c>
      <c r="I40" s="158">
        <f t="shared" si="1"/>
        <v>0</v>
      </c>
      <c r="J40" s="158"/>
      <c r="K40" s="316"/>
      <c r="L40" s="160">
        <f t="shared" si="2"/>
        <v>0</v>
      </c>
      <c r="M40" s="316"/>
      <c r="N40" s="160">
        <f t="shared" si="3"/>
        <v>0</v>
      </c>
      <c r="O40" s="160">
        <f t="shared" si="4"/>
        <v>0</v>
      </c>
      <c r="P40" s="4"/>
    </row>
    <row r="41" spans="2:16">
      <c r="B41" t="str">
        <f t="shared" si="0"/>
        <v/>
      </c>
      <c r="C41" s="155">
        <f>IF(D11="","-",+C40+1)</f>
        <v>2041</v>
      </c>
      <c r="D41" s="164">
        <f>IF(F40+SUM(E$17:E40)=D$10,F40,D$10-SUM(E$17:E40))</f>
        <v>36105412.65666528</v>
      </c>
      <c r="E41" s="162">
        <f t="shared" si="5"/>
        <v>2031199.4497102054</v>
      </c>
      <c r="F41" s="161">
        <f t="shared" si="6"/>
        <v>34074213.206955075</v>
      </c>
      <c r="G41" s="163">
        <f t="shared" si="7"/>
        <v>6153937.6073684692</v>
      </c>
      <c r="H41" s="145">
        <f t="shared" si="8"/>
        <v>6153937.6073684692</v>
      </c>
      <c r="I41" s="158">
        <f t="shared" si="1"/>
        <v>0</v>
      </c>
      <c r="J41" s="158"/>
      <c r="K41" s="316"/>
      <c r="L41" s="160">
        <f t="shared" si="2"/>
        <v>0</v>
      </c>
      <c r="M41" s="316"/>
      <c r="N41" s="160">
        <f t="shared" si="3"/>
        <v>0</v>
      </c>
      <c r="O41" s="160">
        <f t="shared" si="4"/>
        <v>0</v>
      </c>
      <c r="P41" s="4"/>
    </row>
    <row r="42" spans="2:16">
      <c r="B42" t="str">
        <f t="shared" si="0"/>
        <v/>
      </c>
      <c r="C42" s="155">
        <f>IF(D11="","-",+C41+1)</f>
        <v>2042</v>
      </c>
      <c r="D42" s="164">
        <f>IF(F41+SUM(E$17:E41)=D$10,F41,D$10-SUM(E$17:E41))</f>
        <v>34074213.206955075</v>
      </c>
      <c r="E42" s="162">
        <f t="shared" si="5"/>
        <v>2031199.4497102054</v>
      </c>
      <c r="F42" s="161">
        <f t="shared" si="6"/>
        <v>32043013.75724487</v>
      </c>
      <c r="G42" s="163">
        <f t="shared" si="7"/>
        <v>5915289.8980344785</v>
      </c>
      <c r="H42" s="145">
        <f t="shared" si="8"/>
        <v>5915289.8980344785</v>
      </c>
      <c r="I42" s="158">
        <f t="shared" si="1"/>
        <v>0</v>
      </c>
      <c r="J42" s="158"/>
      <c r="K42" s="316"/>
      <c r="L42" s="160">
        <f t="shared" si="2"/>
        <v>0</v>
      </c>
      <c r="M42" s="316"/>
      <c r="N42" s="160">
        <f t="shared" si="3"/>
        <v>0</v>
      </c>
      <c r="O42" s="160">
        <f t="shared" si="4"/>
        <v>0</v>
      </c>
      <c r="P42" s="4"/>
    </row>
    <row r="43" spans="2:16">
      <c r="B43" t="str">
        <f t="shared" si="0"/>
        <v/>
      </c>
      <c r="C43" s="155">
        <f>IF(D11="","-",+C42+1)</f>
        <v>2043</v>
      </c>
      <c r="D43" s="164">
        <f>IF(F42+SUM(E$17:E42)=D$10,F42,D$10-SUM(E$17:E42))</f>
        <v>32043013.75724487</v>
      </c>
      <c r="E43" s="162">
        <f t="shared" si="5"/>
        <v>2031199.4497102054</v>
      </c>
      <c r="F43" s="161">
        <f t="shared" si="6"/>
        <v>30011814.307534665</v>
      </c>
      <c r="G43" s="163">
        <f t="shared" si="7"/>
        <v>5676642.1887004878</v>
      </c>
      <c r="H43" s="145">
        <f t="shared" si="8"/>
        <v>5676642.1887004878</v>
      </c>
      <c r="I43" s="158">
        <f t="shared" si="1"/>
        <v>0</v>
      </c>
      <c r="J43" s="158"/>
      <c r="K43" s="316"/>
      <c r="L43" s="160">
        <f t="shared" si="2"/>
        <v>0</v>
      </c>
      <c r="M43" s="316"/>
      <c r="N43" s="160">
        <f t="shared" si="3"/>
        <v>0</v>
      </c>
      <c r="O43" s="160">
        <f t="shared" si="4"/>
        <v>0</v>
      </c>
      <c r="P43" s="4"/>
    </row>
    <row r="44" spans="2:16">
      <c r="B44" t="str">
        <f t="shared" si="0"/>
        <v/>
      </c>
      <c r="C44" s="155">
        <f>IF(D11="","-",+C43+1)</f>
        <v>2044</v>
      </c>
      <c r="D44" s="164">
        <f>IF(F43+SUM(E$17:E43)=D$10,F43,D$10-SUM(E$17:E43))</f>
        <v>30011814.307534665</v>
      </c>
      <c r="E44" s="162">
        <f t="shared" si="5"/>
        <v>2031199.4497102054</v>
      </c>
      <c r="F44" s="161">
        <f t="shared" si="6"/>
        <v>27980614.85782446</v>
      </c>
      <c r="G44" s="163">
        <f t="shared" si="7"/>
        <v>5437994.4793664981</v>
      </c>
      <c r="H44" s="145">
        <f t="shared" si="8"/>
        <v>5437994.4793664981</v>
      </c>
      <c r="I44" s="158">
        <f t="shared" si="1"/>
        <v>0</v>
      </c>
      <c r="J44" s="158"/>
      <c r="K44" s="316"/>
      <c r="L44" s="160">
        <f t="shared" si="2"/>
        <v>0</v>
      </c>
      <c r="M44" s="316"/>
      <c r="N44" s="160">
        <f t="shared" si="3"/>
        <v>0</v>
      </c>
      <c r="O44" s="160">
        <f t="shared" si="4"/>
        <v>0</v>
      </c>
      <c r="P44" s="4"/>
    </row>
    <row r="45" spans="2:16">
      <c r="B45" t="str">
        <f t="shared" si="0"/>
        <v/>
      </c>
      <c r="C45" s="155">
        <f>IF(D11="","-",+C44+1)</f>
        <v>2045</v>
      </c>
      <c r="D45" s="164">
        <f>IF(F44+SUM(E$17:E44)=D$10,F44,D$10-SUM(E$17:E44))</f>
        <v>27980614.85782446</v>
      </c>
      <c r="E45" s="162">
        <f t="shared" si="5"/>
        <v>2031199.4497102054</v>
      </c>
      <c r="F45" s="161">
        <f t="shared" si="6"/>
        <v>25949415.408114254</v>
      </c>
      <c r="G45" s="163">
        <f t="shared" si="7"/>
        <v>5199346.7700325074</v>
      </c>
      <c r="H45" s="145">
        <f t="shared" si="8"/>
        <v>5199346.7700325074</v>
      </c>
      <c r="I45" s="158">
        <f t="shared" si="1"/>
        <v>0</v>
      </c>
      <c r="J45" s="158"/>
      <c r="K45" s="316"/>
      <c r="L45" s="160">
        <f t="shared" si="2"/>
        <v>0</v>
      </c>
      <c r="M45" s="316"/>
      <c r="N45" s="160">
        <f t="shared" si="3"/>
        <v>0</v>
      </c>
      <c r="O45" s="160">
        <f t="shared" si="4"/>
        <v>0</v>
      </c>
      <c r="P45" s="4"/>
    </row>
    <row r="46" spans="2:16">
      <c r="B46" t="str">
        <f t="shared" si="0"/>
        <v/>
      </c>
      <c r="C46" s="155">
        <f>IF(D11="","-",+C45+1)</f>
        <v>2046</v>
      </c>
      <c r="D46" s="164">
        <f>IF(F45+SUM(E$17:E45)=D$10,F45,D$10-SUM(E$17:E45))</f>
        <v>25949415.408114254</v>
      </c>
      <c r="E46" s="162">
        <f t="shared" si="5"/>
        <v>2031199.4497102054</v>
      </c>
      <c r="F46" s="161">
        <f t="shared" si="6"/>
        <v>23918215.958404049</v>
      </c>
      <c r="G46" s="163">
        <f t="shared" si="7"/>
        <v>4960699.0606985176</v>
      </c>
      <c r="H46" s="145">
        <f t="shared" si="8"/>
        <v>4960699.0606985176</v>
      </c>
      <c r="I46" s="158">
        <f t="shared" si="1"/>
        <v>0</v>
      </c>
      <c r="J46" s="158"/>
      <c r="K46" s="316"/>
      <c r="L46" s="160">
        <f t="shared" si="2"/>
        <v>0</v>
      </c>
      <c r="M46" s="316"/>
      <c r="N46" s="160">
        <f t="shared" si="3"/>
        <v>0</v>
      </c>
      <c r="O46" s="160">
        <f t="shared" si="4"/>
        <v>0</v>
      </c>
      <c r="P46" s="4"/>
    </row>
    <row r="47" spans="2:16">
      <c r="B47" t="str">
        <f t="shared" si="0"/>
        <v/>
      </c>
      <c r="C47" s="155">
        <f>IF(D11="","-",+C46+1)</f>
        <v>2047</v>
      </c>
      <c r="D47" s="164">
        <f>IF(F46+SUM(E$17:E46)=D$10,F46,D$10-SUM(E$17:E46))</f>
        <v>23918215.958404049</v>
      </c>
      <c r="E47" s="162">
        <f t="shared" si="5"/>
        <v>2031199.4497102054</v>
      </c>
      <c r="F47" s="161">
        <f t="shared" si="6"/>
        <v>21887016.508693844</v>
      </c>
      <c r="G47" s="163">
        <f t="shared" si="7"/>
        <v>4722051.3513645269</v>
      </c>
      <c r="H47" s="145">
        <f t="shared" si="8"/>
        <v>4722051.3513645269</v>
      </c>
      <c r="I47" s="158">
        <f t="shared" si="1"/>
        <v>0</v>
      </c>
      <c r="J47" s="158"/>
      <c r="K47" s="316"/>
      <c r="L47" s="160">
        <f t="shared" si="2"/>
        <v>0</v>
      </c>
      <c r="M47" s="316"/>
      <c r="N47" s="160">
        <f t="shared" si="3"/>
        <v>0</v>
      </c>
      <c r="O47" s="160">
        <f t="shared" si="4"/>
        <v>0</v>
      </c>
      <c r="P47" s="4"/>
    </row>
    <row r="48" spans="2:16">
      <c r="B48" t="str">
        <f t="shared" si="0"/>
        <v/>
      </c>
      <c r="C48" s="155">
        <f>IF(D11="","-",+C47+1)</f>
        <v>2048</v>
      </c>
      <c r="D48" s="164">
        <f>IF(F47+SUM(E$17:E47)=D$10,F47,D$10-SUM(E$17:E47))</f>
        <v>21887016.508693844</v>
      </c>
      <c r="E48" s="162">
        <f t="shared" si="5"/>
        <v>2031199.4497102054</v>
      </c>
      <c r="F48" s="161">
        <f t="shared" si="6"/>
        <v>19855817.058983639</v>
      </c>
      <c r="G48" s="163">
        <f t="shared" si="7"/>
        <v>4483403.6420305362</v>
      </c>
      <c r="H48" s="145">
        <f t="shared" si="8"/>
        <v>4483403.6420305362</v>
      </c>
      <c r="I48" s="158">
        <f t="shared" si="1"/>
        <v>0</v>
      </c>
      <c r="J48" s="158"/>
      <c r="K48" s="316"/>
      <c r="L48" s="160">
        <f t="shared" si="2"/>
        <v>0</v>
      </c>
      <c r="M48" s="316"/>
      <c r="N48" s="160">
        <f t="shared" si="3"/>
        <v>0</v>
      </c>
      <c r="O48" s="160">
        <f t="shared" si="4"/>
        <v>0</v>
      </c>
      <c r="P48" s="4"/>
    </row>
    <row r="49" spans="2:16">
      <c r="B49" t="str">
        <f t="shared" si="0"/>
        <v/>
      </c>
      <c r="C49" s="155">
        <f>IF(D11="","-",+C48+1)</f>
        <v>2049</v>
      </c>
      <c r="D49" s="164">
        <f>IF(F48+SUM(E$17:E48)=D$10,F48,D$10-SUM(E$17:E48))</f>
        <v>19855817.058983639</v>
      </c>
      <c r="E49" s="162">
        <f t="shared" si="5"/>
        <v>2031199.4497102054</v>
      </c>
      <c r="F49" s="161">
        <f t="shared" si="6"/>
        <v>17824617.609273434</v>
      </c>
      <c r="G49" s="163">
        <f t="shared" si="7"/>
        <v>4244755.9326965464</v>
      </c>
      <c r="H49" s="145">
        <f t="shared" si="8"/>
        <v>4244755.9326965464</v>
      </c>
      <c r="I49" s="158">
        <f t="shared" si="1"/>
        <v>0</v>
      </c>
      <c r="J49" s="158"/>
      <c r="K49" s="316"/>
      <c r="L49" s="160">
        <f t="shared" si="2"/>
        <v>0</v>
      </c>
      <c r="M49" s="316"/>
      <c r="N49" s="160">
        <f t="shared" si="3"/>
        <v>0</v>
      </c>
      <c r="O49" s="160">
        <f t="shared" si="4"/>
        <v>0</v>
      </c>
      <c r="P49" s="4"/>
    </row>
    <row r="50" spans="2:16">
      <c r="B50" t="str">
        <f t="shared" si="0"/>
        <v/>
      </c>
      <c r="C50" s="155">
        <f>IF(D11="","-",+C49+1)</f>
        <v>2050</v>
      </c>
      <c r="D50" s="164">
        <f>IF(F49+SUM(E$17:E49)=D$10,F49,D$10-SUM(E$17:E49))</f>
        <v>17824617.609273434</v>
      </c>
      <c r="E50" s="162">
        <f t="shared" ref="E50:E71" si="9">IF(+I$14&lt;F49,I$14,D50)</f>
        <v>2031199.4497102054</v>
      </c>
      <c r="F50" s="161">
        <f t="shared" si="6"/>
        <v>15793418.159563228</v>
      </c>
      <c r="G50" s="163">
        <f t="shared" si="7"/>
        <v>4006108.2233625557</v>
      </c>
      <c r="H50" s="145">
        <f t="shared" si="8"/>
        <v>4006108.2233625557</v>
      </c>
      <c r="I50" s="158">
        <f t="shared" si="1"/>
        <v>0</v>
      </c>
      <c r="J50" s="158"/>
      <c r="K50" s="316"/>
      <c r="L50" s="160">
        <f t="shared" si="2"/>
        <v>0</v>
      </c>
      <c r="M50" s="316"/>
      <c r="N50" s="160">
        <f t="shared" si="3"/>
        <v>0</v>
      </c>
      <c r="O50" s="160">
        <f t="shared" si="4"/>
        <v>0</v>
      </c>
      <c r="P50" s="4"/>
    </row>
    <row r="51" spans="2:16">
      <c r="B51" t="str">
        <f t="shared" si="0"/>
        <v/>
      </c>
      <c r="C51" s="155">
        <f>IF(D11="","-",+C50+1)</f>
        <v>2051</v>
      </c>
      <c r="D51" s="164">
        <f>IF(F50+SUM(E$17:E50)=D$10,F50,D$10-SUM(E$17:E50))</f>
        <v>15793418.159563228</v>
      </c>
      <c r="E51" s="162">
        <f t="shared" si="9"/>
        <v>2031199.4497102054</v>
      </c>
      <c r="F51" s="161">
        <f t="shared" si="6"/>
        <v>13762218.709853023</v>
      </c>
      <c r="G51" s="163">
        <f t="shared" si="7"/>
        <v>3767460.514028566</v>
      </c>
      <c r="H51" s="145">
        <f t="shared" si="8"/>
        <v>3767460.514028566</v>
      </c>
      <c r="I51" s="158">
        <f t="shared" si="1"/>
        <v>0</v>
      </c>
      <c r="J51" s="158"/>
      <c r="K51" s="316"/>
      <c r="L51" s="160">
        <f t="shared" si="2"/>
        <v>0</v>
      </c>
      <c r="M51" s="316"/>
      <c r="N51" s="160">
        <f t="shared" si="3"/>
        <v>0</v>
      </c>
      <c r="O51" s="160">
        <f t="shared" si="4"/>
        <v>0</v>
      </c>
      <c r="P51" s="4"/>
    </row>
    <row r="52" spans="2:16">
      <c r="B52" t="str">
        <f t="shared" si="0"/>
        <v/>
      </c>
      <c r="C52" s="155">
        <f>IF(D11="","-",+C51+1)</f>
        <v>2052</v>
      </c>
      <c r="D52" s="164">
        <f>IF(F51+SUM(E$17:E51)=D$10,F51,D$10-SUM(E$17:E51))</f>
        <v>13762218.709853023</v>
      </c>
      <c r="E52" s="162">
        <f t="shared" si="9"/>
        <v>2031199.4497102054</v>
      </c>
      <c r="F52" s="161">
        <f t="shared" si="6"/>
        <v>11731019.260142818</v>
      </c>
      <c r="G52" s="163">
        <f t="shared" si="7"/>
        <v>3528812.8046945753</v>
      </c>
      <c r="H52" s="145">
        <f t="shared" si="8"/>
        <v>3528812.8046945753</v>
      </c>
      <c r="I52" s="158">
        <f t="shared" si="1"/>
        <v>0</v>
      </c>
      <c r="J52" s="158"/>
      <c r="K52" s="316"/>
      <c r="L52" s="160">
        <f t="shared" si="2"/>
        <v>0</v>
      </c>
      <c r="M52" s="316"/>
      <c r="N52" s="160">
        <f t="shared" si="3"/>
        <v>0</v>
      </c>
      <c r="O52" s="160">
        <f t="shared" si="4"/>
        <v>0</v>
      </c>
      <c r="P52" s="4"/>
    </row>
    <row r="53" spans="2:16">
      <c r="B53" t="str">
        <f t="shared" si="0"/>
        <v/>
      </c>
      <c r="C53" s="155">
        <f>IF(D11="","-",+C52+1)</f>
        <v>2053</v>
      </c>
      <c r="D53" s="164">
        <f>IF(F52+SUM(E$17:E52)=D$10,F52,D$10-SUM(E$17:E52))</f>
        <v>11731019.260142818</v>
      </c>
      <c r="E53" s="162">
        <f t="shared" si="9"/>
        <v>2031199.4497102054</v>
      </c>
      <c r="F53" s="161">
        <f t="shared" si="6"/>
        <v>9699819.8104326129</v>
      </c>
      <c r="G53" s="163">
        <f t="shared" si="7"/>
        <v>3290165.095360585</v>
      </c>
      <c r="H53" s="145">
        <f t="shared" si="8"/>
        <v>3290165.095360585</v>
      </c>
      <c r="I53" s="158">
        <f t="shared" si="1"/>
        <v>0</v>
      </c>
      <c r="J53" s="158"/>
      <c r="K53" s="316"/>
      <c r="L53" s="160">
        <f t="shared" si="2"/>
        <v>0</v>
      </c>
      <c r="M53" s="316"/>
      <c r="N53" s="160">
        <f t="shared" si="3"/>
        <v>0</v>
      </c>
      <c r="O53" s="160">
        <f t="shared" si="4"/>
        <v>0</v>
      </c>
      <c r="P53" s="4"/>
    </row>
    <row r="54" spans="2:16">
      <c r="B54" t="str">
        <f t="shared" si="0"/>
        <v/>
      </c>
      <c r="C54" s="155">
        <f>IF(D11="","-",+C53+1)</f>
        <v>2054</v>
      </c>
      <c r="D54" s="164">
        <f>IF(F53+SUM(E$17:E53)=D$10,F53,D$10-SUM(E$17:E53))</f>
        <v>9699819.8104326129</v>
      </c>
      <c r="E54" s="162">
        <f t="shared" si="9"/>
        <v>2031199.4497102054</v>
      </c>
      <c r="F54" s="161">
        <f t="shared" si="6"/>
        <v>7668620.3607224077</v>
      </c>
      <c r="G54" s="163">
        <f t="shared" si="7"/>
        <v>3051517.3860265948</v>
      </c>
      <c r="H54" s="145">
        <f t="shared" si="8"/>
        <v>3051517.3860265948</v>
      </c>
      <c r="I54" s="158">
        <f t="shared" si="1"/>
        <v>0</v>
      </c>
      <c r="J54" s="158"/>
      <c r="K54" s="316"/>
      <c r="L54" s="160">
        <f t="shared" si="2"/>
        <v>0</v>
      </c>
      <c r="M54" s="316"/>
      <c r="N54" s="160">
        <f t="shared" si="3"/>
        <v>0</v>
      </c>
      <c r="O54" s="160">
        <f t="shared" si="4"/>
        <v>0</v>
      </c>
      <c r="P54" s="4"/>
    </row>
    <row r="55" spans="2:16">
      <c r="B55" t="str">
        <f t="shared" si="0"/>
        <v/>
      </c>
      <c r="C55" s="155">
        <f>IF(D11="","-",+C54+1)</f>
        <v>2055</v>
      </c>
      <c r="D55" s="164">
        <f>IF(F54+SUM(E$17:E54)=D$10,F54,D$10-SUM(E$17:E54))</f>
        <v>7668620.3607224077</v>
      </c>
      <c r="E55" s="162">
        <f t="shared" si="9"/>
        <v>2031199.4497102054</v>
      </c>
      <c r="F55" s="161">
        <f t="shared" si="6"/>
        <v>5637420.9110122025</v>
      </c>
      <c r="G55" s="163">
        <f t="shared" si="7"/>
        <v>2812869.6766926046</v>
      </c>
      <c r="H55" s="145">
        <f t="shared" si="8"/>
        <v>2812869.6766926046</v>
      </c>
      <c r="I55" s="158">
        <f t="shared" si="1"/>
        <v>0</v>
      </c>
      <c r="J55" s="158"/>
      <c r="K55" s="316"/>
      <c r="L55" s="160">
        <f t="shared" si="2"/>
        <v>0</v>
      </c>
      <c r="M55" s="316"/>
      <c r="N55" s="160">
        <f t="shared" si="3"/>
        <v>0</v>
      </c>
      <c r="O55" s="160">
        <f t="shared" si="4"/>
        <v>0</v>
      </c>
      <c r="P55" s="4"/>
    </row>
    <row r="56" spans="2:16">
      <c r="B56" t="str">
        <f t="shared" si="0"/>
        <v/>
      </c>
      <c r="C56" s="155">
        <f>IF(D11="","-",+C55+1)</f>
        <v>2056</v>
      </c>
      <c r="D56" s="164">
        <f>IF(F55+SUM(E$17:E55)=D$10,F55,D$10-SUM(E$17:E55))</f>
        <v>5637420.9110122025</v>
      </c>
      <c r="E56" s="162">
        <f t="shared" si="9"/>
        <v>2031199.4497102054</v>
      </c>
      <c r="F56" s="161">
        <f t="shared" si="6"/>
        <v>3606221.4613019973</v>
      </c>
      <c r="G56" s="163">
        <f t="shared" si="7"/>
        <v>2574221.9673586143</v>
      </c>
      <c r="H56" s="145">
        <f t="shared" si="8"/>
        <v>2574221.9673586143</v>
      </c>
      <c r="I56" s="158">
        <f t="shared" si="1"/>
        <v>0</v>
      </c>
      <c r="J56" s="158"/>
      <c r="K56" s="316"/>
      <c r="L56" s="160">
        <f t="shared" si="2"/>
        <v>0</v>
      </c>
      <c r="M56" s="316"/>
      <c r="N56" s="160">
        <f t="shared" si="3"/>
        <v>0</v>
      </c>
      <c r="O56" s="160">
        <f t="shared" si="4"/>
        <v>0</v>
      </c>
      <c r="P56" s="4"/>
    </row>
    <row r="57" spans="2:16">
      <c r="B57" t="str">
        <f t="shared" si="0"/>
        <v/>
      </c>
      <c r="C57" s="155">
        <f>IF(D11="","-",+C56+1)</f>
        <v>2057</v>
      </c>
      <c r="D57" s="164">
        <f>IF(F56+SUM(E$17:E56)=D$10,F56,D$10-SUM(E$17:E56))</f>
        <v>3606221.4613019973</v>
      </c>
      <c r="E57" s="162">
        <f t="shared" si="9"/>
        <v>2031199.4497102054</v>
      </c>
      <c r="F57" s="161">
        <f t="shared" si="6"/>
        <v>1575022.0115917919</v>
      </c>
      <c r="G57" s="163">
        <f t="shared" si="7"/>
        <v>2335574.2580246236</v>
      </c>
      <c r="H57" s="145">
        <f t="shared" si="8"/>
        <v>2335574.2580246236</v>
      </c>
      <c r="I57" s="158">
        <f t="shared" si="1"/>
        <v>0</v>
      </c>
      <c r="J57" s="158"/>
      <c r="K57" s="316"/>
      <c r="L57" s="160">
        <f t="shared" si="2"/>
        <v>0</v>
      </c>
      <c r="M57" s="316"/>
      <c r="N57" s="160">
        <f t="shared" si="3"/>
        <v>0</v>
      </c>
      <c r="O57" s="160">
        <f t="shared" si="4"/>
        <v>0</v>
      </c>
      <c r="P57" s="4"/>
    </row>
    <row r="58" spans="2:16">
      <c r="B58" t="str">
        <f t="shared" si="0"/>
        <v/>
      </c>
      <c r="C58" s="155">
        <f>IF(D11="","-",+C57+1)</f>
        <v>2058</v>
      </c>
      <c r="D58" s="164">
        <f>IF(F57+SUM(E$17:E57)=D$10,F57,D$10-SUM(E$17:E57))</f>
        <v>1575022.0115917919</v>
      </c>
      <c r="E58" s="162">
        <f t="shared" si="9"/>
        <v>1575022.0115917919</v>
      </c>
      <c r="F58" s="161">
        <f t="shared" si="6"/>
        <v>0</v>
      </c>
      <c r="G58" s="163">
        <f t="shared" si="7"/>
        <v>1667547.4884155034</v>
      </c>
      <c r="H58" s="145">
        <f t="shared" si="8"/>
        <v>1667547.4884155034</v>
      </c>
      <c r="I58" s="158">
        <f t="shared" si="1"/>
        <v>0</v>
      </c>
      <c r="J58" s="158"/>
      <c r="K58" s="316"/>
      <c r="L58" s="160">
        <f t="shared" si="2"/>
        <v>0</v>
      </c>
      <c r="M58" s="316"/>
      <c r="N58" s="160">
        <f t="shared" si="3"/>
        <v>0</v>
      </c>
      <c r="O58" s="160">
        <f t="shared" si="4"/>
        <v>0</v>
      </c>
      <c r="P58" s="4"/>
    </row>
    <row r="59" spans="2:16">
      <c r="B59" t="str">
        <f t="shared" si="0"/>
        <v/>
      </c>
      <c r="C59" s="155">
        <f>IF(D11="","-",+C58+1)</f>
        <v>2059</v>
      </c>
      <c r="D59" s="164">
        <f>IF(F58+SUM(E$17:E58)=D$10,F58,D$10-SUM(E$17:E58))</f>
        <v>0</v>
      </c>
      <c r="E59" s="162">
        <f t="shared" si="9"/>
        <v>0</v>
      </c>
      <c r="F59" s="161">
        <f t="shared" si="6"/>
        <v>0</v>
      </c>
      <c r="G59" s="163">
        <f t="shared" si="7"/>
        <v>0</v>
      </c>
      <c r="H59" s="145">
        <f t="shared" si="8"/>
        <v>0</v>
      </c>
      <c r="I59" s="158">
        <f t="shared" si="1"/>
        <v>0</v>
      </c>
      <c r="J59" s="158"/>
      <c r="K59" s="316"/>
      <c r="L59" s="160">
        <f t="shared" si="2"/>
        <v>0</v>
      </c>
      <c r="M59" s="316"/>
      <c r="N59" s="160">
        <f t="shared" si="3"/>
        <v>0</v>
      </c>
      <c r="O59" s="160">
        <f t="shared" si="4"/>
        <v>0</v>
      </c>
      <c r="P59" s="4"/>
    </row>
    <row r="60" spans="2:16">
      <c r="B60" t="str">
        <f t="shared" si="0"/>
        <v/>
      </c>
      <c r="C60" s="155">
        <f>IF(D11="","-",+C59+1)</f>
        <v>2060</v>
      </c>
      <c r="D60" s="164">
        <f>IF(F59+SUM(E$17:E59)=D$10,F59,D$10-SUM(E$17:E59))</f>
        <v>0</v>
      </c>
      <c r="E60" s="162">
        <f t="shared" si="9"/>
        <v>0</v>
      </c>
      <c r="F60" s="161">
        <f t="shared" si="6"/>
        <v>0</v>
      </c>
      <c r="G60" s="163">
        <f t="shared" si="7"/>
        <v>0</v>
      </c>
      <c r="H60" s="145">
        <f t="shared" si="8"/>
        <v>0</v>
      </c>
      <c r="I60" s="158">
        <f t="shared" si="1"/>
        <v>0</v>
      </c>
      <c r="J60" s="158"/>
      <c r="K60" s="316"/>
      <c r="L60" s="160">
        <f t="shared" si="2"/>
        <v>0</v>
      </c>
      <c r="M60" s="316"/>
      <c r="N60" s="160">
        <f t="shared" si="3"/>
        <v>0</v>
      </c>
      <c r="O60" s="160">
        <f t="shared" si="4"/>
        <v>0</v>
      </c>
      <c r="P60" s="4"/>
    </row>
    <row r="61" spans="2:16">
      <c r="B61" t="str">
        <f t="shared" si="0"/>
        <v/>
      </c>
      <c r="C61" s="155">
        <f>IF(D11="","-",+C60+1)</f>
        <v>2061</v>
      </c>
      <c r="D61" s="164">
        <f>IF(F60+SUM(E$17:E60)=D$10,F60,D$10-SUM(E$17:E60))</f>
        <v>0</v>
      </c>
      <c r="E61" s="162">
        <f t="shared" si="9"/>
        <v>0</v>
      </c>
      <c r="F61" s="161">
        <f t="shared" si="6"/>
        <v>0</v>
      </c>
      <c r="G61" s="165">
        <f t="shared" si="7"/>
        <v>0</v>
      </c>
      <c r="H61" s="145">
        <f t="shared" si="8"/>
        <v>0</v>
      </c>
      <c r="I61" s="158">
        <f t="shared" si="1"/>
        <v>0</v>
      </c>
      <c r="J61" s="158"/>
      <c r="K61" s="316"/>
      <c r="L61" s="160">
        <f t="shared" si="2"/>
        <v>0</v>
      </c>
      <c r="M61" s="316"/>
      <c r="N61" s="160">
        <f t="shared" si="3"/>
        <v>0</v>
      </c>
      <c r="O61" s="160">
        <f t="shared" si="4"/>
        <v>0</v>
      </c>
      <c r="P61" s="4"/>
    </row>
    <row r="62" spans="2:16">
      <c r="B62" t="str">
        <f t="shared" si="0"/>
        <v/>
      </c>
      <c r="C62" s="155">
        <f>IF(D11="","-",+C61+1)</f>
        <v>2062</v>
      </c>
      <c r="D62" s="164">
        <f>IF(F61+SUM(E$17:E61)=D$10,F61,D$10-SUM(E$17:E61))</f>
        <v>0</v>
      </c>
      <c r="E62" s="162">
        <f t="shared" si="9"/>
        <v>0</v>
      </c>
      <c r="F62" s="161">
        <f t="shared" si="6"/>
        <v>0</v>
      </c>
      <c r="G62" s="165">
        <f t="shared" si="7"/>
        <v>0</v>
      </c>
      <c r="H62" s="145">
        <f t="shared" si="8"/>
        <v>0</v>
      </c>
      <c r="I62" s="158">
        <f t="shared" si="1"/>
        <v>0</v>
      </c>
      <c r="J62" s="158"/>
      <c r="K62" s="316"/>
      <c r="L62" s="160">
        <f t="shared" si="2"/>
        <v>0</v>
      </c>
      <c r="M62" s="316"/>
      <c r="N62" s="160">
        <f t="shared" si="3"/>
        <v>0</v>
      </c>
      <c r="O62" s="160">
        <f t="shared" si="4"/>
        <v>0</v>
      </c>
      <c r="P62" s="4"/>
    </row>
    <row r="63" spans="2:16">
      <c r="B63" t="str">
        <f t="shared" si="0"/>
        <v/>
      </c>
      <c r="C63" s="155">
        <f>IF(D11="","-",+C62+1)</f>
        <v>2063</v>
      </c>
      <c r="D63" s="164">
        <f>IF(F62+SUM(E$17:E62)=D$10,F62,D$10-SUM(E$17:E62))</f>
        <v>0</v>
      </c>
      <c r="E63" s="162">
        <f t="shared" si="9"/>
        <v>0</v>
      </c>
      <c r="F63" s="161">
        <f t="shared" si="6"/>
        <v>0</v>
      </c>
      <c r="G63" s="165">
        <f t="shared" si="7"/>
        <v>0</v>
      </c>
      <c r="H63" s="145">
        <f t="shared" si="8"/>
        <v>0</v>
      </c>
      <c r="I63" s="158">
        <f t="shared" si="1"/>
        <v>0</v>
      </c>
      <c r="J63" s="158"/>
      <c r="K63" s="316"/>
      <c r="L63" s="160">
        <f t="shared" si="2"/>
        <v>0</v>
      </c>
      <c r="M63" s="316"/>
      <c r="N63" s="160">
        <f t="shared" si="3"/>
        <v>0</v>
      </c>
      <c r="O63" s="160">
        <f t="shared" si="4"/>
        <v>0</v>
      </c>
      <c r="P63" s="4"/>
    </row>
    <row r="64" spans="2:16">
      <c r="B64" t="str">
        <f t="shared" si="0"/>
        <v/>
      </c>
      <c r="C64" s="155">
        <f>IF(D11="","-",+C63+1)</f>
        <v>2064</v>
      </c>
      <c r="D64" s="164">
        <f>IF(F63+SUM(E$17:E63)=D$10,F63,D$10-SUM(E$17:E63))</f>
        <v>0</v>
      </c>
      <c r="E64" s="162">
        <f t="shared" si="9"/>
        <v>0</v>
      </c>
      <c r="F64" s="161">
        <f t="shared" si="6"/>
        <v>0</v>
      </c>
      <c r="G64" s="165">
        <f t="shared" si="7"/>
        <v>0</v>
      </c>
      <c r="H64" s="145">
        <f t="shared" si="8"/>
        <v>0</v>
      </c>
      <c r="I64" s="158">
        <f t="shared" si="1"/>
        <v>0</v>
      </c>
      <c r="J64" s="158"/>
      <c r="K64" s="316"/>
      <c r="L64" s="160">
        <f t="shared" si="2"/>
        <v>0</v>
      </c>
      <c r="M64" s="316"/>
      <c r="N64" s="160">
        <f t="shared" si="3"/>
        <v>0</v>
      </c>
      <c r="O64" s="160">
        <f t="shared" si="4"/>
        <v>0</v>
      </c>
      <c r="P64" s="4"/>
    </row>
    <row r="65" spans="2:16">
      <c r="B65" t="str">
        <f t="shared" si="0"/>
        <v/>
      </c>
      <c r="C65" s="155">
        <f>IF(D11="","-",+C64+1)</f>
        <v>2065</v>
      </c>
      <c r="D65" s="164">
        <f>IF(F64+SUM(E$17:E64)=D$10,F64,D$10-SUM(E$17:E64))</f>
        <v>0</v>
      </c>
      <c r="E65" s="162">
        <f t="shared" si="9"/>
        <v>0</v>
      </c>
      <c r="F65" s="161">
        <f t="shared" si="6"/>
        <v>0</v>
      </c>
      <c r="G65" s="165">
        <f t="shared" si="7"/>
        <v>0</v>
      </c>
      <c r="H65" s="145">
        <f t="shared" si="8"/>
        <v>0</v>
      </c>
      <c r="I65" s="158">
        <f t="shared" si="1"/>
        <v>0</v>
      </c>
      <c r="J65" s="158"/>
      <c r="K65" s="316"/>
      <c r="L65" s="160">
        <f t="shared" si="2"/>
        <v>0</v>
      </c>
      <c r="M65" s="316"/>
      <c r="N65" s="160">
        <f t="shared" si="3"/>
        <v>0</v>
      </c>
      <c r="O65" s="160">
        <f t="shared" si="4"/>
        <v>0</v>
      </c>
      <c r="P65" s="4"/>
    </row>
    <row r="66" spans="2:16">
      <c r="B66" t="str">
        <f t="shared" si="0"/>
        <v/>
      </c>
      <c r="C66" s="155">
        <f>IF(D11="","-",+C65+1)</f>
        <v>2066</v>
      </c>
      <c r="D66" s="164">
        <f>IF(F65+SUM(E$17:E65)=D$10,F65,D$10-SUM(E$17:E65))</f>
        <v>0</v>
      </c>
      <c r="E66" s="162">
        <f t="shared" si="9"/>
        <v>0</v>
      </c>
      <c r="F66" s="161">
        <f t="shared" si="6"/>
        <v>0</v>
      </c>
      <c r="G66" s="165">
        <f t="shared" si="7"/>
        <v>0</v>
      </c>
      <c r="H66" s="145">
        <f t="shared" si="8"/>
        <v>0</v>
      </c>
      <c r="I66" s="158">
        <f t="shared" si="1"/>
        <v>0</v>
      </c>
      <c r="J66" s="158"/>
      <c r="K66" s="316"/>
      <c r="L66" s="160">
        <f t="shared" si="2"/>
        <v>0</v>
      </c>
      <c r="M66" s="316"/>
      <c r="N66" s="160">
        <f t="shared" si="3"/>
        <v>0</v>
      </c>
      <c r="O66" s="160">
        <f t="shared" si="4"/>
        <v>0</v>
      </c>
      <c r="P66" s="4"/>
    </row>
    <row r="67" spans="2:16">
      <c r="B67" t="str">
        <f t="shared" si="0"/>
        <v/>
      </c>
      <c r="C67" s="155">
        <f>IF(D11="","-",+C66+1)</f>
        <v>2067</v>
      </c>
      <c r="D67" s="164">
        <f>IF(F66+SUM(E$17:E66)=D$10,F66,D$10-SUM(E$17:E66))</f>
        <v>0</v>
      </c>
      <c r="E67" s="162">
        <f t="shared" si="9"/>
        <v>0</v>
      </c>
      <c r="F67" s="161">
        <f t="shared" si="6"/>
        <v>0</v>
      </c>
      <c r="G67" s="165">
        <f t="shared" si="7"/>
        <v>0</v>
      </c>
      <c r="H67" s="145">
        <f t="shared" si="8"/>
        <v>0</v>
      </c>
      <c r="I67" s="158">
        <f t="shared" si="1"/>
        <v>0</v>
      </c>
      <c r="J67" s="158"/>
      <c r="K67" s="316"/>
      <c r="L67" s="160">
        <f t="shared" si="2"/>
        <v>0</v>
      </c>
      <c r="M67" s="316"/>
      <c r="N67" s="160">
        <f t="shared" si="3"/>
        <v>0</v>
      </c>
      <c r="O67" s="160">
        <f t="shared" si="4"/>
        <v>0</v>
      </c>
      <c r="P67" s="4"/>
    </row>
    <row r="68" spans="2:16">
      <c r="B68" t="str">
        <f t="shared" si="0"/>
        <v/>
      </c>
      <c r="C68" s="155">
        <f>IF(D11="","-",+C67+1)</f>
        <v>2068</v>
      </c>
      <c r="D68" s="164">
        <f>IF(F67+SUM(E$17:E67)=D$10,F67,D$10-SUM(E$17:E67))</f>
        <v>0</v>
      </c>
      <c r="E68" s="162">
        <f t="shared" si="9"/>
        <v>0</v>
      </c>
      <c r="F68" s="161">
        <f t="shared" si="6"/>
        <v>0</v>
      </c>
      <c r="G68" s="165">
        <f t="shared" si="7"/>
        <v>0</v>
      </c>
      <c r="H68" s="145">
        <f t="shared" si="8"/>
        <v>0</v>
      </c>
      <c r="I68" s="158">
        <f t="shared" si="1"/>
        <v>0</v>
      </c>
      <c r="J68" s="158"/>
      <c r="K68" s="316"/>
      <c r="L68" s="160">
        <f t="shared" si="2"/>
        <v>0</v>
      </c>
      <c r="M68" s="316"/>
      <c r="N68" s="160">
        <f t="shared" si="3"/>
        <v>0</v>
      </c>
      <c r="O68" s="160">
        <f t="shared" si="4"/>
        <v>0</v>
      </c>
      <c r="P68" s="4"/>
    </row>
    <row r="69" spans="2:16">
      <c r="B69" t="str">
        <f t="shared" si="0"/>
        <v/>
      </c>
      <c r="C69" s="155">
        <f>IF(D11="","-",+C68+1)</f>
        <v>2069</v>
      </c>
      <c r="D69" s="164">
        <f>IF(F68+SUM(E$17:E68)=D$10,F68,D$10-SUM(E$17:E68))</f>
        <v>0</v>
      </c>
      <c r="E69" s="162">
        <f t="shared" si="9"/>
        <v>0</v>
      </c>
      <c r="F69" s="161">
        <f t="shared" si="6"/>
        <v>0</v>
      </c>
      <c r="G69" s="165">
        <f t="shared" si="7"/>
        <v>0</v>
      </c>
      <c r="H69" s="145">
        <f t="shared" si="8"/>
        <v>0</v>
      </c>
      <c r="I69" s="158">
        <f t="shared" si="1"/>
        <v>0</v>
      </c>
      <c r="J69" s="158"/>
      <c r="K69" s="316"/>
      <c r="L69" s="160">
        <f t="shared" si="2"/>
        <v>0</v>
      </c>
      <c r="M69" s="316"/>
      <c r="N69" s="160">
        <f t="shared" si="3"/>
        <v>0</v>
      </c>
      <c r="O69" s="160">
        <f t="shared" si="4"/>
        <v>0</v>
      </c>
      <c r="P69" s="4"/>
    </row>
    <row r="70" spans="2:16">
      <c r="B70" t="str">
        <f t="shared" si="0"/>
        <v/>
      </c>
      <c r="C70" s="155">
        <f>IF(D11="","-",+C69+1)</f>
        <v>2070</v>
      </c>
      <c r="D70" s="164">
        <f>IF(F69+SUM(E$17:E69)=D$10,F69,D$10-SUM(E$17:E69))</f>
        <v>0</v>
      </c>
      <c r="E70" s="162">
        <f t="shared" si="9"/>
        <v>0</v>
      </c>
      <c r="F70" s="161">
        <f t="shared" si="6"/>
        <v>0</v>
      </c>
      <c r="G70" s="165">
        <f t="shared" si="7"/>
        <v>0</v>
      </c>
      <c r="H70" s="145">
        <f t="shared" si="8"/>
        <v>0</v>
      </c>
      <c r="I70" s="158">
        <f t="shared" si="1"/>
        <v>0</v>
      </c>
      <c r="J70" s="158"/>
      <c r="K70" s="316"/>
      <c r="L70" s="160">
        <f t="shared" si="2"/>
        <v>0</v>
      </c>
      <c r="M70" s="316"/>
      <c r="N70" s="160">
        <f t="shared" si="3"/>
        <v>0</v>
      </c>
      <c r="O70" s="160">
        <f t="shared" si="4"/>
        <v>0</v>
      </c>
      <c r="P70" s="4"/>
    </row>
    <row r="71" spans="2:16">
      <c r="B71" t="str">
        <f t="shared" si="0"/>
        <v/>
      </c>
      <c r="C71" s="155">
        <f>IF(D11="","-",+C70+1)</f>
        <v>2071</v>
      </c>
      <c r="D71" s="164">
        <f>IF(F70+SUM(E$17:E70)=D$10,F70,D$10-SUM(E$17:E70))</f>
        <v>0</v>
      </c>
      <c r="E71" s="162">
        <f t="shared" si="9"/>
        <v>0</v>
      </c>
      <c r="F71" s="161">
        <f t="shared" si="6"/>
        <v>0</v>
      </c>
      <c r="G71" s="165">
        <f t="shared" si="7"/>
        <v>0</v>
      </c>
      <c r="H71" s="145">
        <f t="shared" si="8"/>
        <v>0</v>
      </c>
      <c r="I71" s="158">
        <f t="shared" si="1"/>
        <v>0</v>
      </c>
      <c r="J71" s="158"/>
      <c r="K71" s="316"/>
      <c r="L71" s="160">
        <f t="shared" si="2"/>
        <v>0</v>
      </c>
      <c r="M71" s="316"/>
      <c r="N71" s="160">
        <f t="shared" si="3"/>
        <v>0</v>
      </c>
      <c r="O71" s="160">
        <f t="shared" si="4"/>
        <v>0</v>
      </c>
      <c r="P71" s="4"/>
    </row>
    <row r="72" spans="2:16">
      <c r="C72" s="155">
        <f>IF(D12="","-",+C71+1)</f>
        <v>2072</v>
      </c>
      <c r="D72" s="164">
        <f>IF(F71+SUM(E$17:E71)=D$10,F71,D$10-SUM(E$17:E71))</f>
        <v>0</v>
      </c>
      <c r="E72" s="162">
        <f>IF(+I$14&lt;F71,I$14,D72)</f>
        <v>0</v>
      </c>
      <c r="F72" s="161">
        <f>+D72-E72</f>
        <v>0</v>
      </c>
      <c r="G72" s="165">
        <f>(D72+F72)/2*I$12+E72</f>
        <v>0</v>
      </c>
      <c r="H72" s="145">
        <f>+(D72+F72)/2*I$13+E72</f>
        <v>0</v>
      </c>
      <c r="I72" s="158">
        <f>H72-G72</f>
        <v>0</v>
      </c>
      <c r="J72" s="158"/>
      <c r="K72" s="316"/>
      <c r="L72" s="160">
        <f>IF(K72&lt;&gt;0,+G72-K72,0)</f>
        <v>0</v>
      </c>
      <c r="M72" s="316"/>
      <c r="N72" s="160">
        <f>IF(M72&lt;&gt;0,+H72-M72,0)</f>
        <v>0</v>
      </c>
      <c r="O72" s="160">
        <f>+N72-L72</f>
        <v>0</v>
      </c>
      <c r="P72" s="4"/>
    </row>
    <row r="73" spans="2:16" ht="13.5" thickBot="1">
      <c r="B73" t="str">
        <f>IF(D73=F71,"","IU")</f>
        <v/>
      </c>
      <c r="C73" s="166">
        <f>IF(D13="","-",+C72+1)</f>
        <v>2073</v>
      </c>
      <c r="D73" s="164">
        <f>IF(F72+SUM(E$17:E72)=D$10,F72,D$10-SUM(E$17:E72))</f>
        <v>0</v>
      </c>
      <c r="E73" s="168">
        <f>IF(+I$14&lt;F72,I$14,D73)</f>
        <v>0</v>
      </c>
      <c r="F73" s="167">
        <f>+D73-E73</f>
        <v>0</v>
      </c>
      <c r="G73" s="169">
        <f>(D73+F73)/2*I$12+E73</f>
        <v>0</v>
      </c>
      <c r="H73" s="127">
        <f>+(D73+F73)/2*I$13+E73</f>
        <v>0</v>
      </c>
      <c r="I73" s="170">
        <f>H73-G73</f>
        <v>0</v>
      </c>
      <c r="J73" s="158"/>
      <c r="K73" s="317"/>
      <c r="L73" s="171">
        <f>IF(K73&lt;&gt;0,+G73-K73,0)</f>
        <v>0</v>
      </c>
      <c r="M73" s="317"/>
      <c r="N73" s="171">
        <f>IF(M73&lt;&gt;0,+H73-M73,0)</f>
        <v>0</v>
      </c>
      <c r="O73" s="171">
        <f>+N73-L73</f>
        <v>0</v>
      </c>
      <c r="P73" s="4"/>
    </row>
    <row r="74" spans="2:16">
      <c r="C74" s="156" t="s">
        <v>75</v>
      </c>
      <c r="D74" s="112"/>
      <c r="E74" s="112">
        <f>SUM(E17:E73)</f>
        <v>82823000.000000015</v>
      </c>
      <c r="F74" s="112"/>
      <c r="G74" s="112">
        <f>SUM(G17:G73)</f>
        <v>285788510.25511569</v>
      </c>
      <c r="H74" s="112">
        <f>SUM(H17:H73)</f>
        <v>285788510.25511569</v>
      </c>
      <c r="I74" s="112">
        <f>SUM(I17:I73)</f>
        <v>0</v>
      </c>
      <c r="J74" s="112"/>
      <c r="K74" s="112"/>
      <c r="L74" s="112"/>
      <c r="M74" s="112"/>
      <c r="N74" s="112"/>
      <c r="O74" s="4"/>
      <c r="P74" s="4"/>
    </row>
    <row r="75" spans="2:16">
      <c r="D75" s="2"/>
      <c r="E75" s="1"/>
      <c r="F75" s="1"/>
      <c r="G75" s="1"/>
      <c r="H75" s="3"/>
      <c r="I75" s="3"/>
      <c r="J75" s="112"/>
      <c r="K75" s="3"/>
      <c r="L75" s="3"/>
      <c r="M75" s="3"/>
      <c r="N75" s="3"/>
      <c r="O75" s="1"/>
      <c r="P75" s="1"/>
    </row>
    <row r="76" spans="2:16">
      <c r="C76" s="172" t="s">
        <v>95</v>
      </c>
      <c r="D76" s="2"/>
      <c r="E76" s="1"/>
      <c r="F76" s="1"/>
      <c r="G76" s="1"/>
      <c r="H76" s="3"/>
      <c r="I76" s="3"/>
      <c r="J76" s="112"/>
      <c r="K76" s="3"/>
      <c r="L76" s="3"/>
      <c r="M76" s="3"/>
      <c r="N76" s="3"/>
      <c r="O76" s="1"/>
      <c r="P76" s="1"/>
    </row>
    <row r="77" spans="2:16">
      <c r="C77" s="124" t="s">
        <v>76</v>
      </c>
      <c r="D77" s="2"/>
      <c r="E77" s="1"/>
      <c r="F77" s="1"/>
      <c r="G77" s="1"/>
      <c r="H77" s="3"/>
      <c r="I77" s="3"/>
      <c r="J77" s="112"/>
      <c r="K77" s="3"/>
      <c r="L77" s="3"/>
      <c r="M77" s="3"/>
      <c r="N77" s="3"/>
      <c r="O77" s="4"/>
      <c r="P77" s="4"/>
    </row>
    <row r="78" spans="2:16">
      <c r="C78" s="124" t="s">
        <v>77</v>
      </c>
      <c r="D78" s="156"/>
      <c r="E78" s="156"/>
      <c r="F78" s="156"/>
      <c r="G78" s="112"/>
      <c r="H78" s="112"/>
      <c r="I78" s="173"/>
      <c r="J78" s="173"/>
      <c r="K78" s="173"/>
      <c r="L78" s="173"/>
      <c r="M78" s="173"/>
      <c r="N78" s="173"/>
      <c r="O78" s="4"/>
      <c r="P78" s="4"/>
    </row>
    <row r="79" spans="2:16">
      <c r="C79" s="124"/>
      <c r="D79" s="156"/>
      <c r="E79" s="156"/>
      <c r="F79" s="156"/>
      <c r="G79" s="112"/>
      <c r="H79" s="112"/>
      <c r="I79" s="173"/>
      <c r="J79" s="173"/>
      <c r="K79" s="173"/>
      <c r="L79" s="173"/>
      <c r="M79" s="173"/>
      <c r="N79" s="173"/>
      <c r="O79" s="4"/>
      <c r="P79" s="1"/>
    </row>
    <row r="80" spans="2:16">
      <c r="B80" s="1"/>
      <c r="C80" s="23"/>
      <c r="D80" s="2"/>
      <c r="E80" s="1"/>
      <c r="F80" s="108"/>
      <c r="G80" s="1"/>
      <c r="H80" s="3"/>
      <c r="I80" s="1"/>
      <c r="J80" s="4"/>
      <c r="K80" s="1"/>
      <c r="L80" s="1"/>
      <c r="M80" s="1"/>
      <c r="N80" s="1"/>
      <c r="O80" s="1"/>
      <c r="P80" s="1"/>
    </row>
    <row r="81" spans="1:16" ht="18">
      <c r="B81" s="1"/>
      <c r="C81" s="239"/>
      <c r="D81" s="2"/>
      <c r="E81" s="1"/>
      <c r="F81" s="108"/>
      <c r="G81" s="1"/>
      <c r="H81" s="3"/>
      <c r="I81" s="1"/>
      <c r="J81" s="4"/>
      <c r="K81" s="1"/>
      <c r="L81" s="1"/>
      <c r="M81" s="1"/>
      <c r="N81" s="1"/>
      <c r="P81" s="241" t="s">
        <v>128</v>
      </c>
    </row>
    <row r="82" spans="1:16">
      <c r="B82" s="1"/>
      <c r="C82" s="23"/>
      <c r="D82" s="2"/>
      <c r="E82" s="1"/>
      <c r="F82" s="108"/>
      <c r="G82" s="1"/>
      <c r="H82" s="3"/>
      <c r="I82" s="1"/>
      <c r="J82" s="4"/>
      <c r="K82" s="1"/>
      <c r="L82" s="1"/>
      <c r="M82" s="1"/>
      <c r="N82" s="1"/>
      <c r="O82" s="1"/>
      <c r="P82" s="1"/>
    </row>
    <row r="83" spans="1:16">
      <c r="B83" s="1"/>
      <c r="C83" s="23"/>
      <c r="D83" s="2"/>
      <c r="E83" s="1"/>
      <c r="F83" s="108"/>
      <c r="G83" s="1"/>
      <c r="H83" s="3"/>
      <c r="I83" s="1"/>
      <c r="J83" s="4"/>
      <c r="K83" s="1"/>
      <c r="L83" s="1"/>
      <c r="M83" s="1"/>
      <c r="N83" s="1"/>
      <c r="O83" s="1"/>
      <c r="P83" s="1"/>
    </row>
    <row r="84" spans="1:16" ht="20.25">
      <c r="A84" s="240" t="s">
        <v>190</v>
      </c>
      <c r="B84" s="1"/>
      <c r="C84" s="23"/>
      <c r="D84" s="2"/>
      <c r="E84" s="1"/>
      <c r="F84" s="100"/>
      <c r="G84" s="100"/>
      <c r="H84" s="1"/>
      <c r="I84" s="3"/>
      <c r="K84" s="7"/>
      <c r="L84" s="110"/>
      <c r="M84" s="110"/>
      <c r="P84" s="110" t="str">
        <f ca="1">P1</f>
        <v>OKT Project 17 of 19</v>
      </c>
    </row>
    <row r="85" spans="1:16" ht="18">
      <c r="B85" s="1"/>
      <c r="C85" s="1"/>
      <c r="D85" s="2"/>
      <c r="E85" s="1"/>
      <c r="F85" s="1"/>
      <c r="G85" s="1"/>
      <c r="H85" s="1"/>
      <c r="I85" s="3"/>
      <c r="J85" s="1"/>
      <c r="K85" s="4"/>
      <c r="L85" s="1"/>
      <c r="M85" s="1"/>
      <c r="P85" s="247" t="s">
        <v>132</v>
      </c>
    </row>
    <row r="86" spans="1:16" ht="18.75" thickBot="1">
      <c r="B86" s="5" t="s">
        <v>42</v>
      </c>
      <c r="C86" s="197" t="s">
        <v>81</v>
      </c>
      <c r="D86" s="2"/>
      <c r="E86" s="1"/>
      <c r="F86" s="1"/>
      <c r="G86" s="1"/>
      <c r="H86" s="1"/>
      <c r="I86" s="3"/>
      <c r="J86" s="3"/>
      <c r="K86" s="112"/>
      <c r="L86" s="3"/>
      <c r="M86" s="3"/>
      <c r="N86" s="3"/>
      <c r="O86" s="112"/>
      <c r="P86" s="1"/>
    </row>
    <row r="87" spans="1:16" ht="15.75" thickBot="1">
      <c r="C87" s="68"/>
      <c r="D87" s="2"/>
      <c r="E87" s="1"/>
      <c r="F87" s="1"/>
      <c r="G87" s="1"/>
      <c r="H87" s="1"/>
      <c r="I87" s="3"/>
      <c r="J87" s="3"/>
      <c r="K87" s="112"/>
      <c r="L87" s="248">
        <f>+J93</f>
        <v>2018</v>
      </c>
      <c r="M87" s="249" t="s">
        <v>9</v>
      </c>
      <c r="N87" s="250" t="s">
        <v>134</v>
      </c>
      <c r="O87" s="251" t="s">
        <v>11</v>
      </c>
      <c r="P87" s="1"/>
    </row>
    <row r="88" spans="1:16" ht="15">
      <c r="C88" s="233" t="s">
        <v>44</v>
      </c>
      <c r="D88" s="2"/>
      <c r="E88" s="1"/>
      <c r="F88" s="1"/>
      <c r="G88" s="1"/>
      <c r="H88" s="114"/>
      <c r="I88" s="1" t="s">
        <v>45</v>
      </c>
      <c r="J88" s="1"/>
      <c r="K88" s="252"/>
      <c r="L88" s="253" t="s">
        <v>253</v>
      </c>
      <c r="M88" s="198">
        <f>IF(J93&lt;D11,0,VLOOKUP(J93,C17:O73,9))</f>
        <v>11642834.922050247</v>
      </c>
      <c r="N88" s="198">
        <f>IF(J93&lt;D11,0,VLOOKUP(J93,C17:O73,11))</f>
        <v>11642834.922050247</v>
      </c>
      <c r="O88" s="199">
        <f>+N88-M88</f>
        <v>0</v>
      </c>
      <c r="P88" s="1"/>
    </row>
    <row r="89" spans="1:16" ht="15.75">
      <c r="C89" s="8"/>
      <c r="D89" s="2"/>
      <c r="E89" s="1"/>
      <c r="F89" s="1"/>
      <c r="G89" s="1"/>
      <c r="H89" s="1"/>
      <c r="I89" s="119"/>
      <c r="J89" s="119"/>
      <c r="K89" s="254"/>
      <c r="L89" s="255" t="s">
        <v>254</v>
      </c>
      <c r="M89" s="200">
        <f>IF(J93&lt;D11,0,VLOOKUP(J93,C100:P155,6))</f>
        <v>11525335.163817437</v>
      </c>
      <c r="N89" s="200">
        <f>IF(J93&lt;D11,0,VLOOKUP(J93,C100:P155,7))</f>
        <v>11525335.163817437</v>
      </c>
      <c r="O89" s="201">
        <f>+N89-M89</f>
        <v>0</v>
      </c>
      <c r="P89" s="1"/>
    </row>
    <row r="90" spans="1:16" ht="13.5" thickBot="1">
      <c r="C90" s="124" t="s">
        <v>82</v>
      </c>
      <c r="D90" s="243" t="str">
        <f>+D7</f>
        <v>Chisholm - Gracemont 345 kv line and station</v>
      </c>
      <c r="E90" s="1"/>
      <c r="F90" s="1"/>
      <c r="G90" s="1"/>
      <c r="H90" s="1"/>
      <c r="I90" s="3"/>
      <c r="J90" s="3"/>
      <c r="K90" s="256"/>
      <c r="L90" s="257" t="s">
        <v>135</v>
      </c>
      <c r="M90" s="203">
        <f>+M89-M88</f>
        <v>-117499.7582328096</v>
      </c>
      <c r="N90" s="203">
        <f>+N89-N88</f>
        <v>-117499.7582328096</v>
      </c>
      <c r="O90" s="204">
        <f>+O89-O88</f>
        <v>0</v>
      </c>
      <c r="P90" s="1"/>
    </row>
    <row r="91" spans="1:16" ht="13.5" thickBot="1">
      <c r="C91" s="172"/>
      <c r="D91" s="174" t="str">
        <f>IF(D8="","",D8)</f>
        <v/>
      </c>
      <c r="E91" s="108"/>
      <c r="F91" s="108"/>
      <c r="G91" s="108"/>
      <c r="H91" s="129"/>
      <c r="I91" s="3"/>
      <c r="J91" s="3"/>
      <c r="K91" s="112"/>
      <c r="L91" s="3"/>
      <c r="M91" s="3"/>
      <c r="N91" s="3"/>
      <c r="O91" s="112"/>
      <c r="P91" s="1"/>
    </row>
    <row r="92" spans="1:16" ht="13.5" thickBot="1">
      <c r="A92" s="104"/>
      <c r="C92" s="205" t="s">
        <v>83</v>
      </c>
      <c r="D92" s="223" t="str">
        <f>+D9</f>
        <v>TP 2011150</v>
      </c>
      <c r="E92" s="206"/>
      <c r="F92" s="206"/>
      <c r="G92" s="206"/>
      <c r="H92" s="206"/>
      <c r="I92" s="206"/>
      <c r="J92" s="206"/>
      <c r="K92" s="207"/>
      <c r="P92" s="134"/>
    </row>
    <row r="93" spans="1:16">
      <c r="C93" s="139" t="s">
        <v>49</v>
      </c>
      <c r="D93" s="136">
        <v>87396515</v>
      </c>
      <c r="E93" s="23" t="s">
        <v>84</v>
      </c>
      <c r="H93" s="137"/>
      <c r="I93" s="137"/>
      <c r="J93" s="138">
        <f>+'OKT.WS.G.BPU.ATRR.True-up'!M16</f>
        <v>2018</v>
      </c>
      <c r="K93" s="133"/>
      <c r="L93" s="112" t="s">
        <v>85</v>
      </c>
      <c r="P93" s="4"/>
    </row>
    <row r="94" spans="1:16">
      <c r="C94" s="139" t="s">
        <v>52</v>
      </c>
      <c r="D94" s="140">
        <f>IF(D11=I10,"",D11)</f>
        <v>2017</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row>
    <row r="95" spans="1:16">
      <c r="C95" s="139" t="s">
        <v>54</v>
      </c>
      <c r="D95" s="136">
        <f>IF(D11=I10,"",D12)</f>
        <v>12</v>
      </c>
      <c r="E95" s="139" t="s">
        <v>55</v>
      </c>
      <c r="F95" s="137"/>
      <c r="G95" s="137"/>
      <c r="J95" s="143">
        <f>'OKT.WS.G.BPU.ATRR.True-up'!$F$81</f>
        <v>0.10556244909908279</v>
      </c>
      <c r="K95" s="144"/>
      <c r="L95" t="s">
        <v>86</v>
      </c>
      <c r="P95" s="4"/>
    </row>
    <row r="96" spans="1:16">
      <c r="C96" s="139" t="s">
        <v>57</v>
      </c>
      <c r="D96" s="141">
        <f>'OKT.WS.G.BPU.ATRR.True-up'!F$93</f>
        <v>36</v>
      </c>
      <c r="E96" s="139" t="s">
        <v>58</v>
      </c>
      <c r="F96" s="137"/>
      <c r="G96" s="137"/>
      <c r="J96" s="143">
        <f>IF(H88="",J95,'OKT.WS.G.BPU.ATRR.True-up'!$F$80)</f>
        <v>0.10556244909908279</v>
      </c>
      <c r="K96" s="60"/>
      <c r="L96" s="112" t="s">
        <v>59</v>
      </c>
      <c r="M96" s="60"/>
      <c r="N96" s="60"/>
      <c r="O96" s="60"/>
      <c r="P96" s="4"/>
    </row>
    <row r="97" spans="1:16" ht="13.5" thickBot="1">
      <c r="C97" s="139" t="s">
        <v>60</v>
      </c>
      <c r="D97" s="468" t="str">
        <f>+D14</f>
        <v>No</v>
      </c>
      <c r="E97" s="202" t="s">
        <v>62</v>
      </c>
      <c r="F97" s="208"/>
      <c r="G97" s="208"/>
      <c r="H97" s="209"/>
      <c r="I97" s="209"/>
      <c r="J97" s="127">
        <f>IF(D93=0,0,D93/D96)</f>
        <v>2427680.972222222</v>
      </c>
      <c r="K97" s="112"/>
      <c r="L97" s="112"/>
      <c r="M97" s="112"/>
      <c r="N97" s="112"/>
      <c r="O97" s="112"/>
      <c r="P97" s="4"/>
    </row>
    <row r="98" spans="1:16"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row>
    <row r="99" spans="1:16"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row>
    <row r="100" spans="1:16">
      <c r="B100" t="str">
        <f t="shared" ref="B100:B155" si="10">IF(D100=F99,"","IU")</f>
        <v>IU</v>
      </c>
      <c r="C100" s="155">
        <f>IF(D94= "","-",D94)</f>
        <v>2017</v>
      </c>
      <c r="D100" s="373">
        <v>0</v>
      </c>
      <c r="E100" s="375">
        <v>0</v>
      </c>
      <c r="F100" s="377">
        <v>87396515</v>
      </c>
      <c r="G100" s="377">
        <v>43698257.5</v>
      </c>
      <c r="H100" s="375">
        <v>5127372.8083007364</v>
      </c>
      <c r="I100" s="376">
        <v>5127372.8083007364</v>
      </c>
      <c r="J100" s="160">
        <f t="shared" ref="J100:J131" si="11">+I100-H100</f>
        <v>0</v>
      </c>
      <c r="K100" s="160"/>
      <c r="L100" s="344">
        <f>+H100</f>
        <v>5127372.8083007364</v>
      </c>
      <c r="M100" s="160">
        <f t="shared" ref="M100:M131" si="12">IF(L100&lt;&gt;0,+H100-L100,0)</f>
        <v>0</v>
      </c>
      <c r="N100" s="344">
        <f>+I100</f>
        <v>5127372.8083007364</v>
      </c>
      <c r="O100" s="367">
        <f t="shared" ref="O100:O131" si="13">IF(N100&lt;&gt;0,+I100-N100,0)</f>
        <v>0</v>
      </c>
      <c r="P100" s="160">
        <f t="shared" ref="P100:P131" si="14">+O100-M100</f>
        <v>0</v>
      </c>
    </row>
    <row r="101" spans="1:16">
      <c r="B101" t="str">
        <f t="shared" si="10"/>
        <v/>
      </c>
      <c r="C101" s="155">
        <f>IF(D94="","-",+C100+1)</f>
        <v>2018</v>
      </c>
      <c r="D101" s="156">
        <f>IF(F100+SUM(E$100:E100)=D$93,F100,D$93-SUM(E$100:E100))</f>
        <v>87396515</v>
      </c>
      <c r="E101" s="162">
        <f t="shared" ref="E101:E132" si="15">IF(+J$97&lt;F100,J$97,D101)</f>
        <v>2427680.972222222</v>
      </c>
      <c r="F101" s="161">
        <f t="shared" ref="F101:F131" si="16">+D101-E101</f>
        <v>84968834.027777776</v>
      </c>
      <c r="G101" s="161">
        <f t="shared" ref="G101:G131" si="17">+(F101+D101)/2</f>
        <v>86182674.513888896</v>
      </c>
      <c r="H101" s="314">
        <f t="shared" ref="H101:H155" si="18">+J$95*G101+E101</f>
        <v>11525335.163817437</v>
      </c>
      <c r="I101" s="323">
        <f t="shared" ref="I101:I155" si="19">+J$96*G101+E101</f>
        <v>11525335.163817437</v>
      </c>
      <c r="J101" s="160">
        <f t="shared" si="11"/>
        <v>0</v>
      </c>
      <c r="K101" s="160"/>
      <c r="L101" s="316"/>
      <c r="M101" s="160">
        <f t="shared" si="12"/>
        <v>0</v>
      </c>
      <c r="N101" s="316"/>
      <c r="O101" s="160">
        <f t="shared" si="13"/>
        <v>0</v>
      </c>
      <c r="P101" s="160">
        <f t="shared" si="14"/>
        <v>0</v>
      </c>
    </row>
    <row r="102" spans="1:16">
      <c r="B102" t="str">
        <f t="shared" si="10"/>
        <v/>
      </c>
      <c r="C102" s="155">
        <f>IF(D94="","-",+C101+1)</f>
        <v>2019</v>
      </c>
      <c r="D102" s="156">
        <f>IF(F101+SUM(E$100:E101)=D$93,F101,D$93-SUM(E$100:E101))</f>
        <v>84968834.027777776</v>
      </c>
      <c r="E102" s="162">
        <f t="shared" si="15"/>
        <v>2427680.972222222</v>
      </c>
      <c r="F102" s="161">
        <f t="shared" si="16"/>
        <v>82541153.055555552</v>
      </c>
      <c r="G102" s="161">
        <f t="shared" si="17"/>
        <v>83754993.541666657</v>
      </c>
      <c r="H102" s="314">
        <f t="shared" si="18"/>
        <v>11269063.214758417</v>
      </c>
      <c r="I102" s="323">
        <f t="shared" si="19"/>
        <v>11269063.214758417</v>
      </c>
      <c r="J102" s="160">
        <f t="shared" si="11"/>
        <v>0</v>
      </c>
      <c r="K102" s="160"/>
      <c r="L102" s="316"/>
      <c r="M102" s="160">
        <f t="shared" si="12"/>
        <v>0</v>
      </c>
      <c r="N102" s="316"/>
      <c r="O102" s="160">
        <f t="shared" si="13"/>
        <v>0</v>
      </c>
      <c r="P102" s="160">
        <f t="shared" si="14"/>
        <v>0</v>
      </c>
    </row>
    <row r="103" spans="1:16">
      <c r="B103" t="str">
        <f t="shared" si="10"/>
        <v/>
      </c>
      <c r="C103" s="155">
        <f>IF(D94="","-",+C102+1)</f>
        <v>2020</v>
      </c>
      <c r="D103" s="156">
        <f>IF(F102+SUM(E$100:E102)=D$93,F102,D$93-SUM(E$100:E102))</f>
        <v>82541153.055555552</v>
      </c>
      <c r="E103" s="162">
        <f t="shared" si="15"/>
        <v>2427680.972222222</v>
      </c>
      <c r="F103" s="161">
        <f t="shared" si="16"/>
        <v>80113472.083333328</v>
      </c>
      <c r="G103" s="161">
        <f t="shared" si="17"/>
        <v>81327312.569444448</v>
      </c>
      <c r="H103" s="314">
        <f t="shared" si="18"/>
        <v>11012791.265699398</v>
      </c>
      <c r="I103" s="323">
        <f t="shared" si="19"/>
        <v>11012791.265699398</v>
      </c>
      <c r="J103" s="160">
        <f t="shared" si="11"/>
        <v>0</v>
      </c>
      <c r="K103" s="160"/>
      <c r="L103" s="316"/>
      <c r="M103" s="160">
        <f t="shared" si="12"/>
        <v>0</v>
      </c>
      <c r="N103" s="316"/>
      <c r="O103" s="160">
        <f t="shared" si="13"/>
        <v>0</v>
      </c>
      <c r="P103" s="160">
        <f t="shared" si="14"/>
        <v>0</v>
      </c>
    </row>
    <row r="104" spans="1:16">
      <c r="B104" t="str">
        <f t="shared" si="10"/>
        <v/>
      </c>
      <c r="C104" s="155">
        <f>IF(D94="","-",+C103+1)</f>
        <v>2021</v>
      </c>
      <c r="D104" s="156">
        <f>IF(F103+SUM(E$100:E103)=D$93,F103,D$93-SUM(E$100:E103))</f>
        <v>80113472.083333328</v>
      </c>
      <c r="E104" s="162">
        <f t="shared" si="15"/>
        <v>2427680.972222222</v>
      </c>
      <c r="F104" s="161">
        <f t="shared" si="16"/>
        <v>77685791.111111104</v>
      </c>
      <c r="G104" s="161">
        <f t="shared" si="17"/>
        <v>78899631.597222209</v>
      </c>
      <c r="H104" s="314">
        <f t="shared" si="18"/>
        <v>10756519.316640375</v>
      </c>
      <c r="I104" s="323">
        <f t="shared" si="19"/>
        <v>10756519.316640375</v>
      </c>
      <c r="J104" s="160">
        <f t="shared" si="11"/>
        <v>0</v>
      </c>
      <c r="K104" s="160"/>
      <c r="L104" s="316"/>
      <c r="M104" s="160">
        <f t="shared" si="12"/>
        <v>0</v>
      </c>
      <c r="N104" s="316"/>
      <c r="O104" s="160">
        <f t="shared" si="13"/>
        <v>0</v>
      </c>
      <c r="P104" s="160">
        <f t="shared" si="14"/>
        <v>0</v>
      </c>
    </row>
    <row r="105" spans="1:16">
      <c r="B105" t="str">
        <f t="shared" si="10"/>
        <v/>
      </c>
      <c r="C105" s="155">
        <f>IF(D94="","-",+C104+1)</f>
        <v>2022</v>
      </c>
      <c r="D105" s="156">
        <f>IF(F104+SUM(E$100:E104)=D$93,F104,D$93-SUM(E$100:E104))</f>
        <v>77685791.111111104</v>
      </c>
      <c r="E105" s="162">
        <f t="shared" si="15"/>
        <v>2427680.972222222</v>
      </c>
      <c r="F105" s="161">
        <f t="shared" si="16"/>
        <v>75258110.138888881</v>
      </c>
      <c r="G105" s="161">
        <f t="shared" si="17"/>
        <v>76471950.625</v>
      </c>
      <c r="H105" s="314">
        <f t="shared" si="18"/>
        <v>10500247.367581356</v>
      </c>
      <c r="I105" s="323">
        <f t="shared" si="19"/>
        <v>10500247.367581356</v>
      </c>
      <c r="J105" s="160">
        <f t="shared" si="11"/>
        <v>0</v>
      </c>
      <c r="K105" s="160"/>
      <c r="L105" s="316"/>
      <c r="M105" s="160">
        <f t="shared" si="12"/>
        <v>0</v>
      </c>
      <c r="N105" s="316"/>
      <c r="O105" s="160">
        <f t="shared" si="13"/>
        <v>0</v>
      </c>
      <c r="P105" s="160">
        <f t="shared" si="14"/>
        <v>0</v>
      </c>
    </row>
    <row r="106" spans="1:16">
      <c r="B106" t="str">
        <f t="shared" si="10"/>
        <v/>
      </c>
      <c r="C106" s="155">
        <f>IF(D94="","-",+C105+1)</f>
        <v>2023</v>
      </c>
      <c r="D106" s="156">
        <f>IF(F105+SUM(E$100:E105)=D$93,F105,D$93-SUM(E$100:E105))</f>
        <v>75258110.138888881</v>
      </c>
      <c r="E106" s="162">
        <f t="shared" si="15"/>
        <v>2427680.972222222</v>
      </c>
      <c r="F106" s="161">
        <f t="shared" si="16"/>
        <v>72830429.166666657</v>
      </c>
      <c r="G106" s="161">
        <f t="shared" si="17"/>
        <v>74044269.652777761</v>
      </c>
      <c r="H106" s="314">
        <f t="shared" si="18"/>
        <v>10243975.418522336</v>
      </c>
      <c r="I106" s="323">
        <f t="shared" si="19"/>
        <v>10243975.418522336</v>
      </c>
      <c r="J106" s="160">
        <f t="shared" si="11"/>
        <v>0</v>
      </c>
      <c r="K106" s="160"/>
      <c r="L106" s="316"/>
      <c r="M106" s="160">
        <f t="shared" si="12"/>
        <v>0</v>
      </c>
      <c r="N106" s="316"/>
      <c r="O106" s="160">
        <f t="shared" si="13"/>
        <v>0</v>
      </c>
      <c r="P106" s="160">
        <f t="shared" si="14"/>
        <v>0</v>
      </c>
    </row>
    <row r="107" spans="1:16">
      <c r="B107" t="str">
        <f t="shared" si="10"/>
        <v/>
      </c>
      <c r="C107" s="155">
        <f>IF(D94="","-",+C106+1)</f>
        <v>2024</v>
      </c>
      <c r="D107" s="156">
        <f>IF(F106+SUM(E$100:E106)=D$93,F106,D$93-SUM(E$100:E106))</f>
        <v>72830429.166666657</v>
      </c>
      <c r="E107" s="162">
        <f t="shared" si="15"/>
        <v>2427680.972222222</v>
      </c>
      <c r="F107" s="161">
        <f t="shared" si="16"/>
        <v>70402748.194444433</v>
      </c>
      <c r="G107" s="161">
        <f t="shared" si="17"/>
        <v>71616588.680555552</v>
      </c>
      <c r="H107" s="314">
        <f t="shared" si="18"/>
        <v>9987703.4694633149</v>
      </c>
      <c r="I107" s="323">
        <f t="shared" si="19"/>
        <v>9987703.4694633149</v>
      </c>
      <c r="J107" s="160">
        <f t="shared" si="11"/>
        <v>0</v>
      </c>
      <c r="K107" s="160"/>
      <c r="L107" s="316"/>
      <c r="M107" s="160">
        <f t="shared" si="12"/>
        <v>0</v>
      </c>
      <c r="N107" s="316"/>
      <c r="O107" s="160">
        <f t="shared" si="13"/>
        <v>0</v>
      </c>
      <c r="P107" s="160">
        <f t="shared" si="14"/>
        <v>0</v>
      </c>
    </row>
    <row r="108" spans="1:16">
      <c r="B108" t="str">
        <f t="shared" si="10"/>
        <v/>
      </c>
      <c r="C108" s="155">
        <f>IF(D94="","-",+C107+1)</f>
        <v>2025</v>
      </c>
      <c r="D108" s="156">
        <f>IF(F107+SUM(E$100:E107)=D$93,F107,D$93-SUM(E$100:E107))</f>
        <v>70402748.194444433</v>
      </c>
      <c r="E108" s="162">
        <f t="shared" si="15"/>
        <v>2427680.972222222</v>
      </c>
      <c r="F108" s="161">
        <f t="shared" si="16"/>
        <v>67975067.222222209</v>
      </c>
      <c r="G108" s="161">
        <f t="shared" si="17"/>
        <v>69188907.708333313</v>
      </c>
      <c r="H108" s="314">
        <f t="shared" si="18"/>
        <v>9731431.5204042941</v>
      </c>
      <c r="I108" s="323">
        <f t="shared" si="19"/>
        <v>9731431.5204042941</v>
      </c>
      <c r="J108" s="160">
        <f t="shared" si="11"/>
        <v>0</v>
      </c>
      <c r="K108" s="160"/>
      <c r="L108" s="316"/>
      <c r="M108" s="160">
        <f t="shared" si="12"/>
        <v>0</v>
      </c>
      <c r="N108" s="316"/>
      <c r="O108" s="160">
        <f t="shared" si="13"/>
        <v>0</v>
      </c>
      <c r="P108" s="160">
        <f t="shared" si="14"/>
        <v>0</v>
      </c>
    </row>
    <row r="109" spans="1:16">
      <c r="B109" t="str">
        <f t="shared" si="10"/>
        <v/>
      </c>
      <c r="C109" s="155">
        <f>IF(D94="","-",+C108+1)</f>
        <v>2026</v>
      </c>
      <c r="D109" s="156">
        <f>IF(F108+SUM(E$100:E108)=D$93,F108,D$93-SUM(E$100:E108))</f>
        <v>67975067.222222209</v>
      </c>
      <c r="E109" s="162">
        <f t="shared" si="15"/>
        <v>2427680.972222222</v>
      </c>
      <c r="F109" s="161">
        <f t="shared" si="16"/>
        <v>65547386.249999985</v>
      </c>
      <c r="G109" s="161">
        <f t="shared" si="17"/>
        <v>66761226.736111097</v>
      </c>
      <c r="H109" s="314">
        <f t="shared" si="18"/>
        <v>9475159.5713452734</v>
      </c>
      <c r="I109" s="323">
        <f t="shared" si="19"/>
        <v>9475159.5713452734</v>
      </c>
      <c r="J109" s="160">
        <f t="shared" si="11"/>
        <v>0</v>
      </c>
      <c r="K109" s="160"/>
      <c r="L109" s="316"/>
      <c r="M109" s="160">
        <f t="shared" si="12"/>
        <v>0</v>
      </c>
      <c r="N109" s="316"/>
      <c r="O109" s="160">
        <f t="shared" si="13"/>
        <v>0</v>
      </c>
      <c r="P109" s="160">
        <f t="shared" si="14"/>
        <v>0</v>
      </c>
    </row>
    <row r="110" spans="1:16">
      <c r="B110" t="str">
        <f t="shared" si="10"/>
        <v/>
      </c>
      <c r="C110" s="155">
        <f>IF(D94="","-",+C109+1)</f>
        <v>2027</v>
      </c>
      <c r="D110" s="156">
        <f>IF(F109+SUM(E$100:E109)=D$93,F109,D$93-SUM(E$100:E109))</f>
        <v>65547386.249999985</v>
      </c>
      <c r="E110" s="162">
        <f t="shared" si="15"/>
        <v>2427680.972222222</v>
      </c>
      <c r="F110" s="161">
        <f t="shared" si="16"/>
        <v>63119705.277777761</v>
      </c>
      <c r="G110" s="161">
        <f t="shared" si="17"/>
        <v>64333545.763888873</v>
      </c>
      <c r="H110" s="314">
        <f t="shared" si="18"/>
        <v>9218887.6222862545</v>
      </c>
      <c r="I110" s="323">
        <f t="shared" si="19"/>
        <v>9218887.6222862545</v>
      </c>
      <c r="J110" s="160">
        <f t="shared" si="11"/>
        <v>0</v>
      </c>
      <c r="K110" s="160"/>
      <c r="L110" s="316"/>
      <c r="M110" s="160">
        <f t="shared" si="12"/>
        <v>0</v>
      </c>
      <c r="N110" s="316"/>
      <c r="O110" s="160">
        <f t="shared" si="13"/>
        <v>0</v>
      </c>
      <c r="P110" s="160">
        <f t="shared" si="14"/>
        <v>0</v>
      </c>
    </row>
    <row r="111" spans="1:16">
      <c r="B111" t="str">
        <f t="shared" si="10"/>
        <v/>
      </c>
      <c r="C111" s="155">
        <f>IF(D94="","-",+C110+1)</f>
        <v>2028</v>
      </c>
      <c r="D111" s="156">
        <f>IF(F110+SUM(E$100:E110)=D$93,F110,D$93-SUM(E$100:E110))</f>
        <v>63119705.277777761</v>
      </c>
      <c r="E111" s="162">
        <f t="shared" si="15"/>
        <v>2427680.972222222</v>
      </c>
      <c r="F111" s="161">
        <f t="shared" si="16"/>
        <v>60692024.305555537</v>
      </c>
      <c r="G111" s="161">
        <f t="shared" si="17"/>
        <v>61905864.791666649</v>
      </c>
      <c r="H111" s="314">
        <f t="shared" si="18"/>
        <v>8962615.6732272338</v>
      </c>
      <c r="I111" s="323">
        <f t="shared" si="19"/>
        <v>8962615.6732272338</v>
      </c>
      <c r="J111" s="160">
        <f t="shared" si="11"/>
        <v>0</v>
      </c>
      <c r="K111" s="160"/>
      <c r="L111" s="316"/>
      <c r="M111" s="160">
        <f t="shared" si="12"/>
        <v>0</v>
      </c>
      <c r="N111" s="316"/>
      <c r="O111" s="160">
        <f t="shared" si="13"/>
        <v>0</v>
      </c>
      <c r="P111" s="160">
        <f t="shared" si="14"/>
        <v>0</v>
      </c>
    </row>
    <row r="112" spans="1:16">
      <c r="B112" t="str">
        <f t="shared" si="10"/>
        <v/>
      </c>
      <c r="C112" s="155">
        <f>IF(D94="","-",+C111+1)</f>
        <v>2029</v>
      </c>
      <c r="D112" s="156">
        <f>IF(F111+SUM(E$100:E111)=D$93,F111,D$93-SUM(E$100:E111))</f>
        <v>60692024.305555537</v>
      </c>
      <c r="E112" s="162">
        <f t="shared" si="15"/>
        <v>2427680.972222222</v>
      </c>
      <c r="F112" s="161">
        <f t="shared" si="16"/>
        <v>58264343.333333313</v>
      </c>
      <c r="G112" s="161">
        <f t="shared" si="17"/>
        <v>59478183.819444425</v>
      </c>
      <c r="H112" s="314">
        <f t="shared" si="18"/>
        <v>8706343.7241682149</v>
      </c>
      <c r="I112" s="323">
        <f t="shared" si="19"/>
        <v>8706343.7241682149</v>
      </c>
      <c r="J112" s="160">
        <f t="shared" si="11"/>
        <v>0</v>
      </c>
      <c r="K112" s="160"/>
      <c r="L112" s="316"/>
      <c r="M112" s="160">
        <f t="shared" si="12"/>
        <v>0</v>
      </c>
      <c r="N112" s="316"/>
      <c r="O112" s="160">
        <f t="shared" si="13"/>
        <v>0</v>
      </c>
      <c r="P112" s="160">
        <f t="shared" si="14"/>
        <v>0</v>
      </c>
    </row>
    <row r="113" spans="2:16">
      <c r="B113" t="str">
        <f t="shared" si="10"/>
        <v/>
      </c>
      <c r="C113" s="155">
        <f>IF(D94="","-",+C112+1)</f>
        <v>2030</v>
      </c>
      <c r="D113" s="156">
        <f>IF(F112+SUM(E$100:E112)=D$93,F112,D$93-SUM(E$100:E112))</f>
        <v>58264343.333333313</v>
      </c>
      <c r="E113" s="162">
        <f t="shared" si="15"/>
        <v>2427680.972222222</v>
      </c>
      <c r="F113" s="161">
        <f t="shared" si="16"/>
        <v>55836662.36111109</v>
      </c>
      <c r="G113" s="161">
        <f t="shared" si="17"/>
        <v>57050502.847222202</v>
      </c>
      <c r="H113" s="314">
        <f t="shared" si="18"/>
        <v>8450071.7751091942</v>
      </c>
      <c r="I113" s="323">
        <f t="shared" si="19"/>
        <v>8450071.7751091942</v>
      </c>
      <c r="J113" s="160">
        <f t="shared" si="11"/>
        <v>0</v>
      </c>
      <c r="K113" s="160"/>
      <c r="L113" s="316"/>
      <c r="M113" s="160">
        <f t="shared" si="12"/>
        <v>0</v>
      </c>
      <c r="N113" s="316"/>
      <c r="O113" s="160">
        <f t="shared" si="13"/>
        <v>0</v>
      </c>
      <c r="P113" s="160">
        <f t="shared" si="14"/>
        <v>0</v>
      </c>
    </row>
    <row r="114" spans="2:16">
      <c r="B114" t="str">
        <f t="shared" si="10"/>
        <v/>
      </c>
      <c r="C114" s="155">
        <f>IF(D94="","-",+C113+1)</f>
        <v>2031</v>
      </c>
      <c r="D114" s="156">
        <f>IF(F113+SUM(E$100:E113)=D$93,F113,D$93-SUM(E$100:E113))</f>
        <v>55836662.36111109</v>
      </c>
      <c r="E114" s="162">
        <f t="shared" si="15"/>
        <v>2427680.972222222</v>
      </c>
      <c r="F114" s="161">
        <f t="shared" si="16"/>
        <v>53408981.388888866</v>
      </c>
      <c r="G114" s="161">
        <f t="shared" si="17"/>
        <v>54622821.874999978</v>
      </c>
      <c r="H114" s="314">
        <f t="shared" si="18"/>
        <v>8193799.8260501726</v>
      </c>
      <c r="I114" s="323">
        <f t="shared" si="19"/>
        <v>8193799.8260501726</v>
      </c>
      <c r="J114" s="160">
        <f t="shared" si="11"/>
        <v>0</v>
      </c>
      <c r="K114" s="160"/>
      <c r="L114" s="316"/>
      <c r="M114" s="160">
        <f t="shared" si="12"/>
        <v>0</v>
      </c>
      <c r="N114" s="316"/>
      <c r="O114" s="160">
        <f t="shared" si="13"/>
        <v>0</v>
      </c>
      <c r="P114" s="160">
        <f t="shared" si="14"/>
        <v>0</v>
      </c>
    </row>
    <row r="115" spans="2:16">
      <c r="B115" t="str">
        <f t="shared" si="10"/>
        <v/>
      </c>
      <c r="C115" s="155">
        <f>IF(D94="","-",+C114+1)</f>
        <v>2032</v>
      </c>
      <c r="D115" s="156">
        <f>IF(F114+SUM(E$100:E114)=D$93,F114,D$93-SUM(E$100:E114))</f>
        <v>53408981.388888866</v>
      </c>
      <c r="E115" s="162">
        <f t="shared" si="15"/>
        <v>2427680.972222222</v>
      </c>
      <c r="F115" s="161">
        <f t="shared" si="16"/>
        <v>50981300.416666642</v>
      </c>
      <c r="G115" s="161">
        <f t="shared" si="17"/>
        <v>52195140.902777754</v>
      </c>
      <c r="H115" s="314">
        <f t="shared" si="18"/>
        <v>7937527.8769911528</v>
      </c>
      <c r="I115" s="323">
        <f t="shared" si="19"/>
        <v>7937527.8769911528</v>
      </c>
      <c r="J115" s="160">
        <f t="shared" si="11"/>
        <v>0</v>
      </c>
      <c r="K115" s="160"/>
      <c r="L115" s="316"/>
      <c r="M115" s="160">
        <f t="shared" si="12"/>
        <v>0</v>
      </c>
      <c r="N115" s="316"/>
      <c r="O115" s="160">
        <f t="shared" si="13"/>
        <v>0</v>
      </c>
      <c r="P115" s="160">
        <f t="shared" si="14"/>
        <v>0</v>
      </c>
    </row>
    <row r="116" spans="2:16">
      <c r="B116" t="str">
        <f t="shared" si="10"/>
        <v/>
      </c>
      <c r="C116" s="155">
        <f>IF(D94="","-",+C115+1)</f>
        <v>2033</v>
      </c>
      <c r="D116" s="156">
        <f>IF(F115+SUM(E$100:E115)=D$93,F115,D$93-SUM(E$100:E115))</f>
        <v>50981300.416666642</v>
      </c>
      <c r="E116" s="162">
        <f t="shared" si="15"/>
        <v>2427680.972222222</v>
      </c>
      <c r="F116" s="161">
        <f t="shared" si="16"/>
        <v>48553619.444444418</v>
      </c>
      <c r="G116" s="161">
        <f t="shared" si="17"/>
        <v>49767459.93055553</v>
      </c>
      <c r="H116" s="314">
        <f t="shared" si="18"/>
        <v>7681255.927932132</v>
      </c>
      <c r="I116" s="323">
        <f t="shared" si="19"/>
        <v>7681255.927932132</v>
      </c>
      <c r="J116" s="160">
        <f t="shared" si="11"/>
        <v>0</v>
      </c>
      <c r="K116" s="160"/>
      <c r="L116" s="316"/>
      <c r="M116" s="160">
        <f t="shared" si="12"/>
        <v>0</v>
      </c>
      <c r="N116" s="316"/>
      <c r="O116" s="160">
        <f t="shared" si="13"/>
        <v>0</v>
      </c>
      <c r="P116" s="160">
        <f t="shared" si="14"/>
        <v>0</v>
      </c>
    </row>
    <row r="117" spans="2:16">
      <c r="B117" t="str">
        <f t="shared" si="10"/>
        <v/>
      </c>
      <c r="C117" s="155">
        <f>IF(D94="","-",+C116+1)</f>
        <v>2034</v>
      </c>
      <c r="D117" s="156">
        <f>IF(F116+SUM(E$100:E116)=D$93,F116,D$93-SUM(E$100:E116))</f>
        <v>48553619.444444418</v>
      </c>
      <c r="E117" s="162">
        <f t="shared" si="15"/>
        <v>2427680.972222222</v>
      </c>
      <c r="F117" s="161">
        <f t="shared" si="16"/>
        <v>46125938.472222194</v>
      </c>
      <c r="G117" s="161">
        <f t="shared" si="17"/>
        <v>47339778.958333306</v>
      </c>
      <c r="H117" s="314">
        <f t="shared" si="18"/>
        <v>7424983.9788731122</v>
      </c>
      <c r="I117" s="323">
        <f t="shared" si="19"/>
        <v>7424983.9788731122</v>
      </c>
      <c r="J117" s="160">
        <f t="shared" si="11"/>
        <v>0</v>
      </c>
      <c r="K117" s="160"/>
      <c r="L117" s="316"/>
      <c r="M117" s="160">
        <f t="shared" si="12"/>
        <v>0</v>
      </c>
      <c r="N117" s="316"/>
      <c r="O117" s="160">
        <f t="shared" si="13"/>
        <v>0</v>
      </c>
      <c r="P117" s="160">
        <f t="shared" si="14"/>
        <v>0</v>
      </c>
    </row>
    <row r="118" spans="2:16">
      <c r="B118" t="str">
        <f t="shared" si="10"/>
        <v/>
      </c>
      <c r="C118" s="155">
        <f>IF(D94="","-",+C117+1)</f>
        <v>2035</v>
      </c>
      <c r="D118" s="156">
        <f>IF(F117+SUM(E$100:E117)=D$93,F117,D$93-SUM(E$100:E117))</f>
        <v>46125938.472222194</v>
      </c>
      <c r="E118" s="162">
        <f t="shared" si="15"/>
        <v>2427680.972222222</v>
      </c>
      <c r="F118" s="161">
        <f t="shared" si="16"/>
        <v>43698257.49999997</v>
      </c>
      <c r="G118" s="161">
        <f t="shared" si="17"/>
        <v>44912097.986111082</v>
      </c>
      <c r="H118" s="314">
        <f t="shared" si="18"/>
        <v>7168712.0298140915</v>
      </c>
      <c r="I118" s="323">
        <f t="shared" si="19"/>
        <v>7168712.0298140915</v>
      </c>
      <c r="J118" s="160">
        <f t="shared" si="11"/>
        <v>0</v>
      </c>
      <c r="K118" s="160"/>
      <c r="L118" s="316"/>
      <c r="M118" s="160">
        <f t="shared" si="12"/>
        <v>0</v>
      </c>
      <c r="N118" s="316"/>
      <c r="O118" s="160">
        <f t="shared" si="13"/>
        <v>0</v>
      </c>
      <c r="P118" s="160">
        <f t="shared" si="14"/>
        <v>0</v>
      </c>
    </row>
    <row r="119" spans="2:16">
      <c r="B119" t="str">
        <f t="shared" si="10"/>
        <v/>
      </c>
      <c r="C119" s="155">
        <f>IF(D94="","-",+C118+1)</f>
        <v>2036</v>
      </c>
      <c r="D119" s="156">
        <f>IF(F118+SUM(E$100:E118)=D$93,F118,D$93-SUM(E$100:E118))</f>
        <v>43698257.49999997</v>
      </c>
      <c r="E119" s="162">
        <f t="shared" si="15"/>
        <v>2427680.972222222</v>
      </c>
      <c r="F119" s="161">
        <f t="shared" si="16"/>
        <v>41270576.527777746</v>
      </c>
      <c r="G119" s="161">
        <f t="shared" si="17"/>
        <v>42484417.013888858</v>
      </c>
      <c r="H119" s="314">
        <f t="shared" si="18"/>
        <v>6912440.0807550717</v>
      </c>
      <c r="I119" s="323">
        <f t="shared" si="19"/>
        <v>6912440.0807550717</v>
      </c>
      <c r="J119" s="160">
        <f t="shared" si="11"/>
        <v>0</v>
      </c>
      <c r="K119" s="160"/>
      <c r="L119" s="316"/>
      <c r="M119" s="160">
        <f t="shared" si="12"/>
        <v>0</v>
      </c>
      <c r="N119" s="316"/>
      <c r="O119" s="160">
        <f t="shared" si="13"/>
        <v>0</v>
      </c>
      <c r="P119" s="160">
        <f t="shared" si="14"/>
        <v>0</v>
      </c>
    </row>
    <row r="120" spans="2:16">
      <c r="B120" t="str">
        <f t="shared" si="10"/>
        <v/>
      </c>
      <c r="C120" s="155">
        <f>IF(D94="","-",+C119+1)</f>
        <v>2037</v>
      </c>
      <c r="D120" s="156">
        <f>IF(F119+SUM(E$100:E119)=D$93,F119,D$93-SUM(E$100:E119))</f>
        <v>41270576.527777746</v>
      </c>
      <c r="E120" s="162">
        <f t="shared" si="15"/>
        <v>2427680.972222222</v>
      </c>
      <c r="F120" s="161">
        <f t="shared" si="16"/>
        <v>38842895.555555522</v>
      </c>
      <c r="G120" s="161">
        <f t="shared" si="17"/>
        <v>40056736.041666634</v>
      </c>
      <c r="H120" s="314">
        <f t="shared" si="18"/>
        <v>6656168.131696051</v>
      </c>
      <c r="I120" s="323">
        <f t="shared" si="19"/>
        <v>6656168.131696051</v>
      </c>
      <c r="J120" s="160">
        <f t="shared" si="11"/>
        <v>0</v>
      </c>
      <c r="K120" s="160"/>
      <c r="L120" s="316"/>
      <c r="M120" s="160">
        <f t="shared" si="12"/>
        <v>0</v>
      </c>
      <c r="N120" s="316"/>
      <c r="O120" s="160">
        <f t="shared" si="13"/>
        <v>0</v>
      </c>
      <c r="P120" s="160">
        <f t="shared" si="14"/>
        <v>0</v>
      </c>
    </row>
    <row r="121" spans="2:16">
      <c r="B121" t="str">
        <f t="shared" si="10"/>
        <v/>
      </c>
      <c r="C121" s="155">
        <f>IF(D94="","-",+C120+1)</f>
        <v>2038</v>
      </c>
      <c r="D121" s="156">
        <f>IF(F120+SUM(E$100:E120)=D$93,F120,D$93-SUM(E$100:E120))</f>
        <v>38842895.555555522</v>
      </c>
      <c r="E121" s="162">
        <f t="shared" si="15"/>
        <v>2427680.972222222</v>
      </c>
      <c r="F121" s="161">
        <f t="shared" si="16"/>
        <v>36415214.583333299</v>
      </c>
      <c r="G121" s="161">
        <f t="shared" si="17"/>
        <v>37629055.069444411</v>
      </c>
      <c r="H121" s="314">
        <f t="shared" si="18"/>
        <v>6399896.1826370303</v>
      </c>
      <c r="I121" s="323">
        <f t="shared" si="19"/>
        <v>6399896.1826370303</v>
      </c>
      <c r="J121" s="160">
        <f t="shared" si="11"/>
        <v>0</v>
      </c>
      <c r="K121" s="160"/>
      <c r="L121" s="316"/>
      <c r="M121" s="160">
        <f t="shared" si="12"/>
        <v>0</v>
      </c>
      <c r="N121" s="316"/>
      <c r="O121" s="160">
        <f t="shared" si="13"/>
        <v>0</v>
      </c>
      <c r="P121" s="160">
        <f t="shared" si="14"/>
        <v>0</v>
      </c>
    </row>
    <row r="122" spans="2:16">
      <c r="B122" t="str">
        <f t="shared" si="10"/>
        <v/>
      </c>
      <c r="C122" s="155">
        <f>IF(D94="","-",+C121+1)</f>
        <v>2039</v>
      </c>
      <c r="D122" s="156">
        <f>IF(F121+SUM(E$100:E121)=D$93,F121,D$93-SUM(E$100:E121))</f>
        <v>36415214.583333299</v>
      </c>
      <c r="E122" s="162">
        <f t="shared" si="15"/>
        <v>2427680.972222222</v>
      </c>
      <c r="F122" s="161">
        <f t="shared" si="16"/>
        <v>33987533.611111075</v>
      </c>
      <c r="G122" s="161">
        <f t="shared" si="17"/>
        <v>35201374.097222187</v>
      </c>
      <c r="H122" s="314">
        <f t="shared" si="18"/>
        <v>6143624.2335780105</v>
      </c>
      <c r="I122" s="323">
        <f t="shared" si="19"/>
        <v>6143624.2335780105</v>
      </c>
      <c r="J122" s="160">
        <f t="shared" si="11"/>
        <v>0</v>
      </c>
      <c r="K122" s="160"/>
      <c r="L122" s="316"/>
      <c r="M122" s="160">
        <f t="shared" si="12"/>
        <v>0</v>
      </c>
      <c r="N122" s="316"/>
      <c r="O122" s="160">
        <f t="shared" si="13"/>
        <v>0</v>
      </c>
      <c r="P122" s="160">
        <f t="shared" si="14"/>
        <v>0</v>
      </c>
    </row>
    <row r="123" spans="2:16">
      <c r="B123" t="str">
        <f t="shared" si="10"/>
        <v/>
      </c>
      <c r="C123" s="155">
        <f>IF(D94="","-",+C122+1)</f>
        <v>2040</v>
      </c>
      <c r="D123" s="156">
        <f>IF(F122+SUM(E$100:E122)=D$93,F122,D$93-SUM(E$100:E122))</f>
        <v>33987533.611111075</v>
      </c>
      <c r="E123" s="162">
        <f t="shared" si="15"/>
        <v>2427680.972222222</v>
      </c>
      <c r="F123" s="161">
        <f t="shared" si="16"/>
        <v>31559852.638888851</v>
      </c>
      <c r="G123" s="161">
        <f t="shared" si="17"/>
        <v>32773693.124999963</v>
      </c>
      <c r="H123" s="314">
        <f t="shared" si="18"/>
        <v>5887352.2845189907</v>
      </c>
      <c r="I123" s="323">
        <f t="shared" si="19"/>
        <v>5887352.2845189907</v>
      </c>
      <c r="J123" s="160">
        <f t="shared" si="11"/>
        <v>0</v>
      </c>
      <c r="K123" s="160"/>
      <c r="L123" s="316"/>
      <c r="M123" s="160">
        <f t="shared" si="12"/>
        <v>0</v>
      </c>
      <c r="N123" s="316"/>
      <c r="O123" s="160">
        <f t="shared" si="13"/>
        <v>0</v>
      </c>
      <c r="P123" s="160">
        <f t="shared" si="14"/>
        <v>0</v>
      </c>
    </row>
    <row r="124" spans="2:16">
      <c r="B124" t="str">
        <f t="shared" si="10"/>
        <v/>
      </c>
      <c r="C124" s="155">
        <f>IF(D94="","-",+C123+1)</f>
        <v>2041</v>
      </c>
      <c r="D124" s="156">
        <f>IF(F123+SUM(E$100:E123)=D$93,F123,D$93-SUM(E$100:E123))</f>
        <v>31559852.638888851</v>
      </c>
      <c r="E124" s="162">
        <f t="shared" si="15"/>
        <v>2427680.972222222</v>
      </c>
      <c r="F124" s="161">
        <f t="shared" si="16"/>
        <v>29132171.666666627</v>
      </c>
      <c r="G124" s="161">
        <f t="shared" si="17"/>
        <v>30346012.152777739</v>
      </c>
      <c r="H124" s="314">
        <f t="shared" si="18"/>
        <v>5631080.3354599699</v>
      </c>
      <c r="I124" s="323">
        <f t="shared" si="19"/>
        <v>5631080.3354599699</v>
      </c>
      <c r="J124" s="160">
        <f t="shared" si="11"/>
        <v>0</v>
      </c>
      <c r="K124" s="160"/>
      <c r="L124" s="316"/>
      <c r="M124" s="160">
        <f t="shared" si="12"/>
        <v>0</v>
      </c>
      <c r="N124" s="316"/>
      <c r="O124" s="160">
        <f t="shared" si="13"/>
        <v>0</v>
      </c>
      <c r="P124" s="160">
        <f t="shared" si="14"/>
        <v>0</v>
      </c>
    </row>
    <row r="125" spans="2:16">
      <c r="B125" t="str">
        <f t="shared" si="10"/>
        <v/>
      </c>
      <c r="C125" s="155">
        <f>IF(D94="","-",+C124+1)</f>
        <v>2042</v>
      </c>
      <c r="D125" s="156">
        <f>IF(F124+SUM(E$100:E124)=D$93,F124,D$93-SUM(E$100:E124))</f>
        <v>29132171.666666627</v>
      </c>
      <c r="E125" s="162">
        <f t="shared" si="15"/>
        <v>2427680.972222222</v>
      </c>
      <c r="F125" s="161">
        <f t="shared" si="16"/>
        <v>26704490.694444403</v>
      </c>
      <c r="G125" s="161">
        <f t="shared" si="17"/>
        <v>27918331.180555515</v>
      </c>
      <c r="H125" s="314">
        <f t="shared" si="18"/>
        <v>5374808.3864009492</v>
      </c>
      <c r="I125" s="323">
        <f t="shared" si="19"/>
        <v>5374808.3864009492</v>
      </c>
      <c r="J125" s="160">
        <f t="shared" si="11"/>
        <v>0</v>
      </c>
      <c r="K125" s="160"/>
      <c r="L125" s="316"/>
      <c r="M125" s="160">
        <f t="shared" si="12"/>
        <v>0</v>
      </c>
      <c r="N125" s="316"/>
      <c r="O125" s="160">
        <f t="shared" si="13"/>
        <v>0</v>
      </c>
      <c r="P125" s="160">
        <f t="shared" si="14"/>
        <v>0</v>
      </c>
    </row>
    <row r="126" spans="2:16">
      <c r="B126" t="str">
        <f t="shared" si="10"/>
        <v/>
      </c>
      <c r="C126" s="155">
        <f>IF(D94="","-",+C125+1)</f>
        <v>2043</v>
      </c>
      <c r="D126" s="156">
        <f>IF(F125+SUM(E$100:E125)=D$93,F125,D$93-SUM(E$100:E125))</f>
        <v>26704490.694444403</v>
      </c>
      <c r="E126" s="162">
        <f t="shared" si="15"/>
        <v>2427680.972222222</v>
      </c>
      <c r="F126" s="161">
        <f t="shared" si="16"/>
        <v>24276809.722222179</v>
      </c>
      <c r="G126" s="161">
        <f t="shared" si="17"/>
        <v>25490650.208333291</v>
      </c>
      <c r="H126" s="314">
        <f t="shared" si="18"/>
        <v>5118536.4373419285</v>
      </c>
      <c r="I126" s="323">
        <f t="shared" si="19"/>
        <v>5118536.4373419285</v>
      </c>
      <c r="J126" s="160">
        <f t="shared" si="11"/>
        <v>0</v>
      </c>
      <c r="K126" s="160"/>
      <c r="L126" s="316"/>
      <c r="M126" s="160">
        <f t="shared" si="12"/>
        <v>0</v>
      </c>
      <c r="N126" s="316"/>
      <c r="O126" s="160">
        <f t="shared" si="13"/>
        <v>0</v>
      </c>
      <c r="P126" s="160">
        <f t="shared" si="14"/>
        <v>0</v>
      </c>
    </row>
    <row r="127" spans="2:16">
      <c r="B127" t="str">
        <f t="shared" si="10"/>
        <v/>
      </c>
      <c r="C127" s="155">
        <f>IF(D94="","-",+C126+1)</f>
        <v>2044</v>
      </c>
      <c r="D127" s="156">
        <f>IF(F126+SUM(E$100:E126)=D$93,F126,D$93-SUM(E$100:E126))</f>
        <v>24276809.722222179</v>
      </c>
      <c r="E127" s="162">
        <f t="shared" si="15"/>
        <v>2427680.972222222</v>
      </c>
      <c r="F127" s="161">
        <f t="shared" si="16"/>
        <v>21849128.749999955</v>
      </c>
      <c r="G127" s="161">
        <f t="shared" si="17"/>
        <v>23062969.236111067</v>
      </c>
      <c r="H127" s="314">
        <f t="shared" si="18"/>
        <v>4862264.4882829087</v>
      </c>
      <c r="I127" s="323">
        <f t="shared" si="19"/>
        <v>4862264.4882829087</v>
      </c>
      <c r="J127" s="160">
        <f t="shared" si="11"/>
        <v>0</v>
      </c>
      <c r="K127" s="160"/>
      <c r="L127" s="316"/>
      <c r="M127" s="160">
        <f t="shared" si="12"/>
        <v>0</v>
      </c>
      <c r="N127" s="316"/>
      <c r="O127" s="160">
        <f t="shared" si="13"/>
        <v>0</v>
      </c>
      <c r="P127" s="160">
        <f t="shared" si="14"/>
        <v>0</v>
      </c>
    </row>
    <row r="128" spans="2:16">
      <c r="B128" t="str">
        <f t="shared" si="10"/>
        <v/>
      </c>
      <c r="C128" s="155">
        <f>IF(D94="","-",+C127+1)</f>
        <v>2045</v>
      </c>
      <c r="D128" s="156">
        <f>IF(F127+SUM(E$100:E127)=D$93,F127,D$93-SUM(E$100:E127))</f>
        <v>21849128.749999955</v>
      </c>
      <c r="E128" s="162">
        <f t="shared" si="15"/>
        <v>2427680.972222222</v>
      </c>
      <c r="F128" s="161">
        <f t="shared" si="16"/>
        <v>19421447.777777731</v>
      </c>
      <c r="G128" s="161">
        <f t="shared" si="17"/>
        <v>20635288.263888843</v>
      </c>
      <c r="H128" s="314">
        <f t="shared" si="18"/>
        <v>4605992.5392238889</v>
      </c>
      <c r="I128" s="323">
        <f t="shared" si="19"/>
        <v>4605992.5392238889</v>
      </c>
      <c r="J128" s="160">
        <f t="shared" si="11"/>
        <v>0</v>
      </c>
      <c r="K128" s="160"/>
      <c r="L128" s="316"/>
      <c r="M128" s="160">
        <f t="shared" si="12"/>
        <v>0</v>
      </c>
      <c r="N128" s="316"/>
      <c r="O128" s="160">
        <f t="shared" si="13"/>
        <v>0</v>
      </c>
      <c r="P128" s="160">
        <f t="shared" si="14"/>
        <v>0</v>
      </c>
    </row>
    <row r="129" spans="2:16">
      <c r="B129" t="str">
        <f t="shared" si="10"/>
        <v/>
      </c>
      <c r="C129" s="155">
        <f>IF(D94="","-",+C128+1)</f>
        <v>2046</v>
      </c>
      <c r="D129" s="156">
        <f>IF(F128+SUM(E$100:E128)=D$93,F128,D$93-SUM(E$100:E128))</f>
        <v>19421447.777777731</v>
      </c>
      <c r="E129" s="162">
        <f t="shared" si="15"/>
        <v>2427680.972222222</v>
      </c>
      <c r="F129" s="161">
        <f t="shared" si="16"/>
        <v>16993766.805555508</v>
      </c>
      <c r="G129" s="161">
        <f t="shared" si="17"/>
        <v>18207607.291666619</v>
      </c>
      <c r="H129" s="314">
        <f t="shared" si="18"/>
        <v>4349720.5901648682</v>
      </c>
      <c r="I129" s="323">
        <f t="shared" si="19"/>
        <v>4349720.5901648682</v>
      </c>
      <c r="J129" s="160">
        <f t="shared" si="11"/>
        <v>0</v>
      </c>
      <c r="K129" s="160"/>
      <c r="L129" s="316"/>
      <c r="M129" s="160">
        <f t="shared" si="12"/>
        <v>0</v>
      </c>
      <c r="N129" s="316"/>
      <c r="O129" s="160">
        <f t="shared" si="13"/>
        <v>0</v>
      </c>
      <c r="P129" s="160">
        <f t="shared" si="14"/>
        <v>0</v>
      </c>
    </row>
    <row r="130" spans="2:16">
      <c r="B130" t="str">
        <f t="shared" si="10"/>
        <v/>
      </c>
      <c r="C130" s="155">
        <f>IF(D94="","-",+C129+1)</f>
        <v>2047</v>
      </c>
      <c r="D130" s="156">
        <f>IF(F129+SUM(E$100:E129)=D$93,F129,D$93-SUM(E$100:E129))</f>
        <v>16993766.805555508</v>
      </c>
      <c r="E130" s="162">
        <f t="shared" si="15"/>
        <v>2427680.972222222</v>
      </c>
      <c r="F130" s="161">
        <f t="shared" si="16"/>
        <v>14566085.833333286</v>
      </c>
      <c r="G130" s="161">
        <f t="shared" si="17"/>
        <v>15779926.319444396</v>
      </c>
      <c r="H130" s="314">
        <f t="shared" si="18"/>
        <v>4093448.6411058479</v>
      </c>
      <c r="I130" s="323">
        <f t="shared" si="19"/>
        <v>4093448.6411058479</v>
      </c>
      <c r="J130" s="160">
        <f t="shared" si="11"/>
        <v>0</v>
      </c>
      <c r="K130" s="160"/>
      <c r="L130" s="316"/>
      <c r="M130" s="160">
        <f t="shared" si="12"/>
        <v>0</v>
      </c>
      <c r="N130" s="316"/>
      <c r="O130" s="160">
        <f t="shared" si="13"/>
        <v>0</v>
      </c>
      <c r="P130" s="160">
        <f t="shared" si="14"/>
        <v>0</v>
      </c>
    </row>
    <row r="131" spans="2:16">
      <c r="B131" t="str">
        <f t="shared" si="10"/>
        <v/>
      </c>
      <c r="C131" s="155">
        <f>IF(D94="","-",+C130+1)</f>
        <v>2048</v>
      </c>
      <c r="D131" s="156">
        <f>IF(F130+SUM(E$100:E130)=D$93,F130,D$93-SUM(E$100:E130))</f>
        <v>14566085.833333286</v>
      </c>
      <c r="E131" s="162">
        <f t="shared" si="15"/>
        <v>2427680.972222222</v>
      </c>
      <c r="F131" s="161">
        <f t="shared" si="16"/>
        <v>12138404.861111064</v>
      </c>
      <c r="G131" s="161">
        <f t="shared" si="17"/>
        <v>13352245.347222175</v>
      </c>
      <c r="H131" s="314">
        <f t="shared" si="18"/>
        <v>3837176.6920468276</v>
      </c>
      <c r="I131" s="323">
        <f t="shared" si="19"/>
        <v>3837176.6920468276</v>
      </c>
      <c r="J131" s="160">
        <f t="shared" si="11"/>
        <v>0</v>
      </c>
      <c r="K131" s="160"/>
      <c r="L131" s="316"/>
      <c r="M131" s="160">
        <f t="shared" si="12"/>
        <v>0</v>
      </c>
      <c r="N131" s="316"/>
      <c r="O131" s="160">
        <f t="shared" si="13"/>
        <v>0</v>
      </c>
      <c r="P131" s="160">
        <f t="shared" si="14"/>
        <v>0</v>
      </c>
    </row>
    <row r="132" spans="2:16">
      <c r="B132" t="str">
        <f t="shared" si="10"/>
        <v/>
      </c>
      <c r="C132" s="155">
        <f>IF(D94="","-",+C131+1)</f>
        <v>2049</v>
      </c>
      <c r="D132" s="156">
        <f>IF(F131+SUM(E$100:E131)=D$93,F131,D$93-SUM(E$100:E131))</f>
        <v>12138404.861111064</v>
      </c>
      <c r="E132" s="162">
        <f t="shared" si="15"/>
        <v>2427680.972222222</v>
      </c>
      <c r="F132" s="161">
        <f t="shared" ref="F132:F155" si="20">+D132-E132</f>
        <v>9710723.8888888415</v>
      </c>
      <c r="G132" s="161">
        <f t="shared" ref="G132:G155" si="21">+(F132+D132)/2</f>
        <v>10924564.374999952</v>
      </c>
      <c r="H132" s="314">
        <f t="shared" si="18"/>
        <v>3580904.7429878078</v>
      </c>
      <c r="I132" s="323">
        <f t="shared" si="19"/>
        <v>3580904.7429878078</v>
      </c>
      <c r="J132" s="160">
        <f t="shared" ref="J132:J155" si="22">+I542-H542</f>
        <v>0</v>
      </c>
      <c r="K132" s="160"/>
      <c r="L132" s="316"/>
      <c r="M132" s="160">
        <f t="shared" ref="M132:M155" si="23">IF(L542&lt;&gt;0,+H542-L542,0)</f>
        <v>0</v>
      </c>
      <c r="N132" s="316"/>
      <c r="O132" s="160">
        <f t="shared" ref="O132:O155" si="24">IF(N542&lt;&gt;0,+I542-N542,0)</f>
        <v>0</v>
      </c>
      <c r="P132" s="160">
        <f t="shared" ref="P132:P155" si="25">+O542-M542</f>
        <v>0</v>
      </c>
    </row>
    <row r="133" spans="2:16">
      <c r="B133" t="str">
        <f t="shared" si="10"/>
        <v/>
      </c>
      <c r="C133" s="155">
        <f>IF(D94="","-",+C132+1)</f>
        <v>2050</v>
      </c>
      <c r="D133" s="156">
        <f>IF(F132+SUM(E$100:E132)=D$93,F132,D$93-SUM(E$100:E132))</f>
        <v>9710723.8888888415</v>
      </c>
      <c r="E133" s="162">
        <f t="shared" ref="E133:E155" si="26">IF(+J$97&lt;F132,J$97,D133)</f>
        <v>2427680.972222222</v>
      </c>
      <c r="F133" s="161">
        <f t="shared" si="20"/>
        <v>7283042.9166666195</v>
      </c>
      <c r="G133" s="161">
        <f t="shared" si="21"/>
        <v>8496883.4027777314</v>
      </c>
      <c r="H133" s="314">
        <f t="shared" si="18"/>
        <v>3324632.7939287876</v>
      </c>
      <c r="I133" s="323">
        <f t="shared" si="19"/>
        <v>3324632.7939287876</v>
      </c>
      <c r="J133" s="160">
        <f t="shared" si="22"/>
        <v>0</v>
      </c>
      <c r="K133" s="160"/>
      <c r="L133" s="316"/>
      <c r="M133" s="160">
        <f t="shared" si="23"/>
        <v>0</v>
      </c>
      <c r="N133" s="316"/>
      <c r="O133" s="160">
        <f t="shared" si="24"/>
        <v>0</v>
      </c>
      <c r="P133" s="160">
        <f t="shared" si="25"/>
        <v>0</v>
      </c>
    </row>
    <row r="134" spans="2:16">
      <c r="B134" t="str">
        <f t="shared" si="10"/>
        <v/>
      </c>
      <c r="C134" s="155">
        <f>IF(D94="","-",+C133+1)</f>
        <v>2051</v>
      </c>
      <c r="D134" s="156">
        <f>IF(F133+SUM(E$100:E133)=D$93,F133,D$93-SUM(E$100:E133))</f>
        <v>7283042.9166666195</v>
      </c>
      <c r="E134" s="162">
        <f t="shared" si="26"/>
        <v>2427680.972222222</v>
      </c>
      <c r="F134" s="161">
        <f t="shared" si="20"/>
        <v>4855361.9444443975</v>
      </c>
      <c r="G134" s="161">
        <f t="shared" si="21"/>
        <v>6069202.4305555085</v>
      </c>
      <c r="H134" s="314">
        <f t="shared" si="18"/>
        <v>3068360.8448697673</v>
      </c>
      <c r="I134" s="323">
        <f t="shared" si="19"/>
        <v>3068360.8448697673</v>
      </c>
      <c r="J134" s="160">
        <f t="shared" si="22"/>
        <v>0</v>
      </c>
      <c r="K134" s="160"/>
      <c r="L134" s="316"/>
      <c r="M134" s="160">
        <f t="shared" si="23"/>
        <v>0</v>
      </c>
      <c r="N134" s="316"/>
      <c r="O134" s="160">
        <f t="shared" si="24"/>
        <v>0</v>
      </c>
      <c r="P134" s="160">
        <f t="shared" si="25"/>
        <v>0</v>
      </c>
    </row>
    <row r="135" spans="2:16">
      <c r="B135" t="str">
        <f t="shared" si="10"/>
        <v/>
      </c>
      <c r="C135" s="155">
        <f>IF(D94="","-",+C134+1)</f>
        <v>2052</v>
      </c>
      <c r="D135" s="156">
        <f>IF(F134+SUM(E$100:E134)=D$93,F134,D$93-SUM(E$100:E134))</f>
        <v>4855361.9444443975</v>
      </c>
      <c r="E135" s="162">
        <f t="shared" si="26"/>
        <v>2427680.972222222</v>
      </c>
      <c r="F135" s="161">
        <f t="shared" si="20"/>
        <v>2427680.9722221754</v>
      </c>
      <c r="G135" s="161">
        <f t="shared" si="21"/>
        <v>3641521.4583332865</v>
      </c>
      <c r="H135" s="314">
        <f t="shared" si="18"/>
        <v>2812088.8958107475</v>
      </c>
      <c r="I135" s="323">
        <f t="shared" si="19"/>
        <v>2812088.8958107475</v>
      </c>
      <c r="J135" s="160">
        <f t="shared" si="22"/>
        <v>0</v>
      </c>
      <c r="K135" s="160"/>
      <c r="L135" s="316"/>
      <c r="M135" s="160">
        <f t="shared" si="23"/>
        <v>0</v>
      </c>
      <c r="N135" s="316"/>
      <c r="O135" s="160">
        <f t="shared" si="24"/>
        <v>0</v>
      </c>
      <c r="P135" s="160">
        <f t="shared" si="25"/>
        <v>0</v>
      </c>
    </row>
    <row r="136" spans="2:16">
      <c r="B136" t="str">
        <f t="shared" si="10"/>
        <v/>
      </c>
      <c r="C136" s="155">
        <f>IF(D94="","-",+C135+1)</f>
        <v>2053</v>
      </c>
      <c r="D136" s="156">
        <f>IF(F135+SUM(E$100:E135)=D$93,F135,D$93-SUM(E$100:E135))</f>
        <v>2427680.9722221754</v>
      </c>
      <c r="E136" s="162">
        <f t="shared" si="26"/>
        <v>2427680.9722221754</v>
      </c>
      <c r="F136" s="161">
        <f t="shared" si="20"/>
        <v>0</v>
      </c>
      <c r="G136" s="161">
        <f t="shared" si="21"/>
        <v>1213840.4861110877</v>
      </c>
      <c r="H136" s="314">
        <f t="shared" si="18"/>
        <v>2555816.946751683</v>
      </c>
      <c r="I136" s="323">
        <f t="shared" si="19"/>
        <v>2555816.946751683</v>
      </c>
      <c r="J136" s="160">
        <f t="shared" si="22"/>
        <v>0</v>
      </c>
      <c r="K136" s="160"/>
      <c r="L136" s="316"/>
      <c r="M136" s="160">
        <f t="shared" si="23"/>
        <v>0</v>
      </c>
      <c r="N136" s="316"/>
      <c r="O136" s="160">
        <f t="shared" si="24"/>
        <v>0</v>
      </c>
      <c r="P136" s="160">
        <f t="shared" si="25"/>
        <v>0</v>
      </c>
    </row>
    <row r="137" spans="2:16">
      <c r="B137" t="str">
        <f t="shared" si="10"/>
        <v/>
      </c>
      <c r="C137" s="155">
        <f>IF(D94="","-",+C136+1)</f>
        <v>2054</v>
      </c>
      <c r="D137" s="156">
        <f>IF(F136+SUM(E$100:E136)=D$93,F136,D$93-SUM(E$100:E136))</f>
        <v>0</v>
      </c>
      <c r="E137" s="162">
        <f t="shared" si="26"/>
        <v>0</v>
      </c>
      <c r="F137" s="161">
        <f t="shared" si="20"/>
        <v>0</v>
      </c>
      <c r="G137" s="161">
        <f t="shared" si="21"/>
        <v>0</v>
      </c>
      <c r="H137" s="314">
        <f t="shared" si="18"/>
        <v>0</v>
      </c>
      <c r="I137" s="323">
        <f t="shared" si="19"/>
        <v>0</v>
      </c>
      <c r="J137" s="160">
        <f t="shared" si="22"/>
        <v>0</v>
      </c>
      <c r="K137" s="160"/>
      <c r="L137" s="316"/>
      <c r="M137" s="160">
        <f t="shared" si="23"/>
        <v>0</v>
      </c>
      <c r="N137" s="316"/>
      <c r="O137" s="160">
        <f t="shared" si="24"/>
        <v>0</v>
      </c>
      <c r="P137" s="160">
        <f t="shared" si="25"/>
        <v>0</v>
      </c>
    </row>
    <row r="138" spans="2:16">
      <c r="B138" t="str">
        <f t="shared" si="10"/>
        <v/>
      </c>
      <c r="C138" s="155">
        <f>IF(D94="","-",+C137+1)</f>
        <v>2055</v>
      </c>
      <c r="D138" s="156">
        <f>IF(F137+SUM(E$100:E137)=D$93,F137,D$93-SUM(E$100:E137))</f>
        <v>0</v>
      </c>
      <c r="E138" s="162">
        <f t="shared" si="26"/>
        <v>0</v>
      </c>
      <c r="F138" s="161">
        <f t="shared" si="20"/>
        <v>0</v>
      </c>
      <c r="G138" s="161">
        <f t="shared" si="21"/>
        <v>0</v>
      </c>
      <c r="H138" s="314">
        <f t="shared" si="18"/>
        <v>0</v>
      </c>
      <c r="I138" s="323">
        <f t="shared" si="19"/>
        <v>0</v>
      </c>
      <c r="J138" s="160">
        <f t="shared" si="22"/>
        <v>0</v>
      </c>
      <c r="K138" s="160"/>
      <c r="L138" s="316"/>
      <c r="M138" s="160">
        <f t="shared" si="23"/>
        <v>0</v>
      </c>
      <c r="N138" s="316"/>
      <c r="O138" s="160">
        <f t="shared" si="24"/>
        <v>0</v>
      </c>
      <c r="P138" s="160">
        <f t="shared" si="25"/>
        <v>0</v>
      </c>
    </row>
    <row r="139" spans="2:16">
      <c r="B139" t="str">
        <f t="shared" si="10"/>
        <v/>
      </c>
      <c r="C139" s="155">
        <f>IF(D94="","-",+C138+1)</f>
        <v>2056</v>
      </c>
      <c r="D139" s="156">
        <f>IF(F138+SUM(E$100:E138)=D$93,F138,D$93-SUM(E$100:E138))</f>
        <v>0</v>
      </c>
      <c r="E139" s="162">
        <f t="shared" si="26"/>
        <v>0</v>
      </c>
      <c r="F139" s="161">
        <f t="shared" si="20"/>
        <v>0</v>
      </c>
      <c r="G139" s="161">
        <f t="shared" si="21"/>
        <v>0</v>
      </c>
      <c r="H139" s="314">
        <f t="shared" si="18"/>
        <v>0</v>
      </c>
      <c r="I139" s="323">
        <f t="shared" si="19"/>
        <v>0</v>
      </c>
      <c r="J139" s="160">
        <f t="shared" si="22"/>
        <v>0</v>
      </c>
      <c r="K139" s="160"/>
      <c r="L139" s="316"/>
      <c r="M139" s="160">
        <f t="shared" si="23"/>
        <v>0</v>
      </c>
      <c r="N139" s="316"/>
      <c r="O139" s="160">
        <f t="shared" si="24"/>
        <v>0</v>
      </c>
      <c r="P139" s="160">
        <f t="shared" si="25"/>
        <v>0</v>
      </c>
    </row>
    <row r="140" spans="2:16">
      <c r="B140" t="str">
        <f t="shared" si="10"/>
        <v/>
      </c>
      <c r="C140" s="155">
        <f>IF(D94="","-",+C139+1)</f>
        <v>2057</v>
      </c>
      <c r="D140" s="156">
        <f>IF(F139+SUM(E$100:E139)=D$93,F139,D$93-SUM(E$100:E139))</f>
        <v>0</v>
      </c>
      <c r="E140" s="162">
        <f t="shared" si="26"/>
        <v>0</v>
      </c>
      <c r="F140" s="161">
        <f t="shared" si="20"/>
        <v>0</v>
      </c>
      <c r="G140" s="161">
        <f t="shared" si="21"/>
        <v>0</v>
      </c>
      <c r="H140" s="314">
        <f t="shared" si="18"/>
        <v>0</v>
      </c>
      <c r="I140" s="323">
        <f t="shared" si="19"/>
        <v>0</v>
      </c>
      <c r="J140" s="160">
        <f t="shared" si="22"/>
        <v>0</v>
      </c>
      <c r="K140" s="160"/>
      <c r="L140" s="316"/>
      <c r="M140" s="160">
        <f t="shared" si="23"/>
        <v>0</v>
      </c>
      <c r="N140" s="316"/>
      <c r="O140" s="160">
        <f t="shared" si="24"/>
        <v>0</v>
      </c>
      <c r="P140" s="160">
        <f t="shared" si="25"/>
        <v>0</v>
      </c>
    </row>
    <row r="141" spans="2:16">
      <c r="B141" t="str">
        <f t="shared" si="10"/>
        <v/>
      </c>
      <c r="C141" s="155">
        <f>IF(D94="","-",+C140+1)</f>
        <v>2058</v>
      </c>
      <c r="D141" s="156">
        <f>IF(F140+SUM(E$100:E140)=D$93,F140,D$93-SUM(E$100:E140))</f>
        <v>0</v>
      </c>
      <c r="E141" s="162">
        <f t="shared" si="26"/>
        <v>0</v>
      </c>
      <c r="F141" s="161">
        <f t="shared" si="20"/>
        <v>0</v>
      </c>
      <c r="G141" s="161">
        <f t="shared" si="21"/>
        <v>0</v>
      </c>
      <c r="H141" s="314">
        <f t="shared" si="18"/>
        <v>0</v>
      </c>
      <c r="I141" s="323">
        <f t="shared" si="19"/>
        <v>0</v>
      </c>
      <c r="J141" s="160">
        <f t="shared" si="22"/>
        <v>0</v>
      </c>
      <c r="K141" s="160"/>
      <c r="L141" s="316"/>
      <c r="M141" s="160">
        <f t="shared" si="23"/>
        <v>0</v>
      </c>
      <c r="N141" s="316"/>
      <c r="O141" s="160">
        <f t="shared" si="24"/>
        <v>0</v>
      </c>
      <c r="P141" s="160">
        <f t="shared" si="25"/>
        <v>0</v>
      </c>
    </row>
    <row r="142" spans="2:16">
      <c r="B142" t="str">
        <f t="shared" si="10"/>
        <v/>
      </c>
      <c r="C142" s="155">
        <f>IF(D94="","-",+C141+1)</f>
        <v>2059</v>
      </c>
      <c r="D142" s="156">
        <f>IF(F141+SUM(E$100:E141)=D$93,F141,D$93-SUM(E$100:E141))</f>
        <v>0</v>
      </c>
      <c r="E142" s="162">
        <f t="shared" si="26"/>
        <v>0</v>
      </c>
      <c r="F142" s="161">
        <f t="shared" si="20"/>
        <v>0</v>
      </c>
      <c r="G142" s="161">
        <f t="shared" si="21"/>
        <v>0</v>
      </c>
      <c r="H142" s="314">
        <f t="shared" si="18"/>
        <v>0</v>
      </c>
      <c r="I142" s="323">
        <f t="shared" si="19"/>
        <v>0</v>
      </c>
      <c r="J142" s="160">
        <f t="shared" si="22"/>
        <v>0</v>
      </c>
      <c r="K142" s="160"/>
      <c r="L142" s="316"/>
      <c r="M142" s="160">
        <f t="shared" si="23"/>
        <v>0</v>
      </c>
      <c r="N142" s="316"/>
      <c r="O142" s="160">
        <f t="shared" si="24"/>
        <v>0</v>
      </c>
      <c r="P142" s="160">
        <f t="shared" si="25"/>
        <v>0</v>
      </c>
    </row>
    <row r="143" spans="2:16">
      <c r="B143" t="str">
        <f t="shared" si="10"/>
        <v/>
      </c>
      <c r="C143" s="155">
        <f>IF(D94="","-",+C142+1)</f>
        <v>2060</v>
      </c>
      <c r="D143" s="156">
        <f>IF(F142+SUM(E$100:E142)=D$93,F142,D$93-SUM(E$100:E142))</f>
        <v>0</v>
      </c>
      <c r="E143" s="162">
        <f t="shared" si="26"/>
        <v>0</v>
      </c>
      <c r="F143" s="161">
        <f t="shared" si="20"/>
        <v>0</v>
      </c>
      <c r="G143" s="161">
        <f t="shared" si="21"/>
        <v>0</v>
      </c>
      <c r="H143" s="314">
        <f t="shared" si="18"/>
        <v>0</v>
      </c>
      <c r="I143" s="323">
        <f t="shared" si="19"/>
        <v>0</v>
      </c>
      <c r="J143" s="160">
        <f t="shared" si="22"/>
        <v>0</v>
      </c>
      <c r="K143" s="160"/>
      <c r="L143" s="316"/>
      <c r="M143" s="160">
        <f t="shared" si="23"/>
        <v>0</v>
      </c>
      <c r="N143" s="316"/>
      <c r="O143" s="160">
        <f t="shared" si="24"/>
        <v>0</v>
      </c>
      <c r="P143" s="160">
        <f t="shared" si="25"/>
        <v>0</v>
      </c>
    </row>
    <row r="144" spans="2:16">
      <c r="B144" t="str">
        <f t="shared" si="10"/>
        <v/>
      </c>
      <c r="C144" s="155">
        <f>IF(D94="","-",+C143+1)</f>
        <v>2061</v>
      </c>
      <c r="D144" s="156">
        <f>IF(F143+SUM(E$100:E143)=D$93,F143,D$93-SUM(E$100:E143))</f>
        <v>0</v>
      </c>
      <c r="E144" s="162">
        <f t="shared" si="26"/>
        <v>0</v>
      </c>
      <c r="F144" s="161">
        <f t="shared" si="20"/>
        <v>0</v>
      </c>
      <c r="G144" s="161">
        <f t="shared" si="21"/>
        <v>0</v>
      </c>
      <c r="H144" s="314">
        <f t="shared" si="18"/>
        <v>0</v>
      </c>
      <c r="I144" s="323">
        <f t="shared" si="19"/>
        <v>0</v>
      </c>
      <c r="J144" s="160">
        <f t="shared" si="22"/>
        <v>0</v>
      </c>
      <c r="K144" s="160"/>
      <c r="L144" s="316"/>
      <c r="M144" s="160">
        <f t="shared" si="23"/>
        <v>0</v>
      </c>
      <c r="N144" s="316"/>
      <c r="O144" s="160">
        <f t="shared" si="24"/>
        <v>0</v>
      </c>
      <c r="P144" s="160">
        <f t="shared" si="25"/>
        <v>0</v>
      </c>
    </row>
    <row r="145" spans="2:16">
      <c r="B145" t="str">
        <f t="shared" si="10"/>
        <v/>
      </c>
      <c r="C145" s="155">
        <f>IF(D94="","-",+C144+1)</f>
        <v>2062</v>
      </c>
      <c r="D145" s="156">
        <f>IF(F144+SUM(E$100:E144)=D$93,F144,D$93-SUM(E$100:E144))</f>
        <v>0</v>
      </c>
      <c r="E145" s="162">
        <f t="shared" si="26"/>
        <v>0</v>
      </c>
      <c r="F145" s="161">
        <f t="shared" si="20"/>
        <v>0</v>
      </c>
      <c r="G145" s="161">
        <f t="shared" si="21"/>
        <v>0</v>
      </c>
      <c r="H145" s="314">
        <f t="shared" si="18"/>
        <v>0</v>
      </c>
      <c r="I145" s="323">
        <f t="shared" si="19"/>
        <v>0</v>
      </c>
      <c r="J145" s="160">
        <f t="shared" si="22"/>
        <v>0</v>
      </c>
      <c r="K145" s="160"/>
      <c r="L145" s="316"/>
      <c r="M145" s="160">
        <f t="shared" si="23"/>
        <v>0</v>
      </c>
      <c r="N145" s="316"/>
      <c r="O145" s="160">
        <f t="shared" si="24"/>
        <v>0</v>
      </c>
      <c r="P145" s="160">
        <f t="shared" si="25"/>
        <v>0</v>
      </c>
    </row>
    <row r="146" spans="2:16">
      <c r="B146" t="str">
        <f t="shared" si="10"/>
        <v/>
      </c>
      <c r="C146" s="155">
        <f>IF(D94="","-",+C145+1)</f>
        <v>2063</v>
      </c>
      <c r="D146" s="156">
        <f>IF(F145+SUM(E$100:E145)=D$93,F145,D$93-SUM(E$100:E145))</f>
        <v>0</v>
      </c>
      <c r="E146" s="162">
        <f t="shared" si="26"/>
        <v>0</v>
      </c>
      <c r="F146" s="161">
        <f t="shared" si="20"/>
        <v>0</v>
      </c>
      <c r="G146" s="161">
        <f t="shared" si="21"/>
        <v>0</v>
      </c>
      <c r="H146" s="314">
        <f t="shared" si="18"/>
        <v>0</v>
      </c>
      <c r="I146" s="323">
        <f t="shared" si="19"/>
        <v>0</v>
      </c>
      <c r="J146" s="160">
        <f t="shared" si="22"/>
        <v>0</v>
      </c>
      <c r="K146" s="160"/>
      <c r="L146" s="316"/>
      <c r="M146" s="160">
        <f t="shared" si="23"/>
        <v>0</v>
      </c>
      <c r="N146" s="316"/>
      <c r="O146" s="160">
        <f t="shared" si="24"/>
        <v>0</v>
      </c>
      <c r="P146" s="160">
        <f t="shared" si="25"/>
        <v>0</v>
      </c>
    </row>
    <row r="147" spans="2:16">
      <c r="B147" t="str">
        <f t="shared" si="10"/>
        <v/>
      </c>
      <c r="C147" s="155">
        <f>IF(D94="","-",+C146+1)</f>
        <v>2064</v>
      </c>
      <c r="D147" s="156">
        <f>IF(F146+SUM(E$100:E146)=D$93,F146,D$93-SUM(E$100:E146))</f>
        <v>0</v>
      </c>
      <c r="E147" s="162">
        <f t="shared" si="26"/>
        <v>0</v>
      </c>
      <c r="F147" s="161">
        <f t="shared" si="20"/>
        <v>0</v>
      </c>
      <c r="G147" s="161">
        <f t="shared" si="21"/>
        <v>0</v>
      </c>
      <c r="H147" s="314">
        <f t="shared" si="18"/>
        <v>0</v>
      </c>
      <c r="I147" s="323">
        <f t="shared" si="19"/>
        <v>0</v>
      </c>
      <c r="J147" s="160">
        <f t="shared" si="22"/>
        <v>0</v>
      </c>
      <c r="K147" s="160"/>
      <c r="L147" s="316"/>
      <c r="M147" s="160">
        <f t="shared" si="23"/>
        <v>0</v>
      </c>
      <c r="N147" s="316"/>
      <c r="O147" s="160">
        <f t="shared" si="24"/>
        <v>0</v>
      </c>
      <c r="P147" s="160">
        <f t="shared" si="25"/>
        <v>0</v>
      </c>
    </row>
    <row r="148" spans="2:16">
      <c r="B148" t="str">
        <f t="shared" si="10"/>
        <v/>
      </c>
      <c r="C148" s="155">
        <f>IF(D94="","-",+C147+1)</f>
        <v>2065</v>
      </c>
      <c r="D148" s="156">
        <f>IF(F147+SUM(E$100:E147)=D$93,F147,D$93-SUM(E$100:E147))</f>
        <v>0</v>
      </c>
      <c r="E148" s="162">
        <f t="shared" si="26"/>
        <v>0</v>
      </c>
      <c r="F148" s="161">
        <f t="shared" si="20"/>
        <v>0</v>
      </c>
      <c r="G148" s="161">
        <f t="shared" si="21"/>
        <v>0</v>
      </c>
      <c r="H148" s="314">
        <f t="shared" si="18"/>
        <v>0</v>
      </c>
      <c r="I148" s="323">
        <f t="shared" si="19"/>
        <v>0</v>
      </c>
      <c r="J148" s="160">
        <f t="shared" si="22"/>
        <v>0</v>
      </c>
      <c r="K148" s="160"/>
      <c r="L148" s="316"/>
      <c r="M148" s="160">
        <f t="shared" si="23"/>
        <v>0</v>
      </c>
      <c r="N148" s="316"/>
      <c r="O148" s="160">
        <f t="shared" si="24"/>
        <v>0</v>
      </c>
      <c r="P148" s="160">
        <f t="shared" si="25"/>
        <v>0</v>
      </c>
    </row>
    <row r="149" spans="2:16">
      <c r="B149" t="str">
        <f t="shared" si="10"/>
        <v/>
      </c>
      <c r="C149" s="155">
        <f>IF(D94="","-",+C148+1)</f>
        <v>2066</v>
      </c>
      <c r="D149" s="156">
        <f>IF(F148+SUM(E$100:E148)=D$93,F148,D$93-SUM(E$100:E148))</f>
        <v>0</v>
      </c>
      <c r="E149" s="162">
        <f t="shared" si="26"/>
        <v>0</v>
      </c>
      <c r="F149" s="161">
        <f t="shared" si="20"/>
        <v>0</v>
      </c>
      <c r="G149" s="161">
        <f t="shared" si="21"/>
        <v>0</v>
      </c>
      <c r="H149" s="314">
        <f t="shared" si="18"/>
        <v>0</v>
      </c>
      <c r="I149" s="323">
        <f t="shared" si="19"/>
        <v>0</v>
      </c>
      <c r="J149" s="160">
        <f t="shared" si="22"/>
        <v>0</v>
      </c>
      <c r="K149" s="160"/>
      <c r="L149" s="316"/>
      <c r="M149" s="160">
        <f t="shared" si="23"/>
        <v>0</v>
      </c>
      <c r="N149" s="316"/>
      <c r="O149" s="160">
        <f t="shared" si="24"/>
        <v>0</v>
      </c>
      <c r="P149" s="160">
        <f t="shared" si="25"/>
        <v>0</v>
      </c>
    </row>
    <row r="150" spans="2:16">
      <c r="B150" t="str">
        <f t="shared" si="10"/>
        <v/>
      </c>
      <c r="C150" s="155">
        <f>IF(D94="","-",+C149+1)</f>
        <v>2067</v>
      </c>
      <c r="D150" s="156">
        <f>IF(F149+SUM(E$100:E149)=D$93,F149,D$93-SUM(E$100:E149))</f>
        <v>0</v>
      </c>
      <c r="E150" s="162">
        <f t="shared" si="26"/>
        <v>0</v>
      </c>
      <c r="F150" s="161">
        <f t="shared" si="20"/>
        <v>0</v>
      </c>
      <c r="G150" s="161">
        <f t="shared" si="21"/>
        <v>0</v>
      </c>
      <c r="H150" s="314">
        <f t="shared" si="18"/>
        <v>0</v>
      </c>
      <c r="I150" s="323">
        <f t="shared" si="19"/>
        <v>0</v>
      </c>
      <c r="J150" s="160">
        <f t="shared" si="22"/>
        <v>0</v>
      </c>
      <c r="K150" s="160"/>
      <c r="L150" s="316"/>
      <c r="M150" s="160">
        <f t="shared" si="23"/>
        <v>0</v>
      </c>
      <c r="N150" s="316"/>
      <c r="O150" s="160">
        <f t="shared" si="24"/>
        <v>0</v>
      </c>
      <c r="P150" s="160">
        <f t="shared" si="25"/>
        <v>0</v>
      </c>
    </row>
    <row r="151" spans="2:16">
      <c r="B151" t="str">
        <f t="shared" si="10"/>
        <v/>
      </c>
      <c r="C151" s="155">
        <f>IF(D94="","-",+C150+1)</f>
        <v>2068</v>
      </c>
      <c r="D151" s="156">
        <f>IF(F150+SUM(E$100:E150)=D$93,F150,D$93-SUM(E$100:E150))</f>
        <v>0</v>
      </c>
      <c r="E151" s="162">
        <f t="shared" si="26"/>
        <v>0</v>
      </c>
      <c r="F151" s="161">
        <f t="shared" si="20"/>
        <v>0</v>
      </c>
      <c r="G151" s="161">
        <f t="shared" si="21"/>
        <v>0</v>
      </c>
      <c r="H151" s="314">
        <f t="shared" si="18"/>
        <v>0</v>
      </c>
      <c r="I151" s="323">
        <f t="shared" si="19"/>
        <v>0</v>
      </c>
      <c r="J151" s="160">
        <f t="shared" si="22"/>
        <v>0</v>
      </c>
      <c r="K151" s="160"/>
      <c r="L151" s="316"/>
      <c r="M151" s="160">
        <f t="shared" si="23"/>
        <v>0</v>
      </c>
      <c r="N151" s="316"/>
      <c r="O151" s="160">
        <f t="shared" si="24"/>
        <v>0</v>
      </c>
      <c r="P151" s="160">
        <f t="shared" si="25"/>
        <v>0</v>
      </c>
    </row>
    <row r="152" spans="2:16">
      <c r="B152" t="str">
        <f t="shared" si="10"/>
        <v/>
      </c>
      <c r="C152" s="155">
        <f>IF(D94="","-",+C151+1)</f>
        <v>2069</v>
      </c>
      <c r="D152" s="156">
        <f>IF(F151+SUM(E$100:E151)=D$93,F151,D$93-SUM(E$100:E151))</f>
        <v>0</v>
      </c>
      <c r="E152" s="162">
        <f t="shared" si="26"/>
        <v>0</v>
      </c>
      <c r="F152" s="161">
        <f t="shared" si="20"/>
        <v>0</v>
      </c>
      <c r="G152" s="161">
        <f t="shared" si="21"/>
        <v>0</v>
      </c>
      <c r="H152" s="314">
        <f t="shared" si="18"/>
        <v>0</v>
      </c>
      <c r="I152" s="323">
        <f t="shared" si="19"/>
        <v>0</v>
      </c>
      <c r="J152" s="160">
        <f t="shared" si="22"/>
        <v>0</v>
      </c>
      <c r="K152" s="160"/>
      <c r="L152" s="316"/>
      <c r="M152" s="160">
        <f t="shared" si="23"/>
        <v>0</v>
      </c>
      <c r="N152" s="316"/>
      <c r="O152" s="160">
        <f t="shared" si="24"/>
        <v>0</v>
      </c>
      <c r="P152" s="160">
        <f t="shared" si="25"/>
        <v>0</v>
      </c>
    </row>
    <row r="153" spans="2:16">
      <c r="B153" t="str">
        <f t="shared" si="10"/>
        <v/>
      </c>
      <c r="C153" s="155">
        <f>IF(D94="","-",+C152+1)</f>
        <v>2070</v>
      </c>
      <c r="D153" s="156">
        <f>IF(F152+SUM(E$100:E152)=D$93,F152,D$93-SUM(E$100:E152))</f>
        <v>0</v>
      </c>
      <c r="E153" s="162">
        <f t="shared" si="26"/>
        <v>0</v>
      </c>
      <c r="F153" s="161">
        <f t="shared" si="20"/>
        <v>0</v>
      </c>
      <c r="G153" s="161">
        <f t="shared" si="21"/>
        <v>0</v>
      </c>
      <c r="H153" s="314">
        <f t="shared" si="18"/>
        <v>0</v>
      </c>
      <c r="I153" s="323">
        <f t="shared" si="19"/>
        <v>0</v>
      </c>
      <c r="J153" s="160">
        <f t="shared" si="22"/>
        <v>0</v>
      </c>
      <c r="K153" s="160"/>
      <c r="L153" s="316"/>
      <c r="M153" s="160">
        <f t="shared" si="23"/>
        <v>0</v>
      </c>
      <c r="N153" s="316"/>
      <c r="O153" s="160">
        <f t="shared" si="24"/>
        <v>0</v>
      </c>
      <c r="P153" s="160">
        <f t="shared" si="25"/>
        <v>0</v>
      </c>
    </row>
    <row r="154" spans="2:16">
      <c r="B154" t="str">
        <f t="shared" si="10"/>
        <v/>
      </c>
      <c r="C154" s="155">
        <f>IF(D94="","-",+C153+1)</f>
        <v>2071</v>
      </c>
      <c r="D154" s="156">
        <f>IF(F153+SUM(E$100:E153)=D$93,F153,D$93-SUM(E$100:E153))</f>
        <v>0</v>
      </c>
      <c r="E154" s="162">
        <f t="shared" si="26"/>
        <v>0</v>
      </c>
      <c r="F154" s="161">
        <f t="shared" si="20"/>
        <v>0</v>
      </c>
      <c r="G154" s="161">
        <f t="shared" si="21"/>
        <v>0</v>
      </c>
      <c r="H154" s="314">
        <f t="shared" si="18"/>
        <v>0</v>
      </c>
      <c r="I154" s="323">
        <f t="shared" si="19"/>
        <v>0</v>
      </c>
      <c r="J154" s="160">
        <f t="shared" si="22"/>
        <v>0</v>
      </c>
      <c r="K154" s="160"/>
      <c r="L154" s="316"/>
      <c r="M154" s="160">
        <f t="shared" si="23"/>
        <v>0</v>
      </c>
      <c r="N154" s="316"/>
      <c r="O154" s="160">
        <f t="shared" si="24"/>
        <v>0</v>
      </c>
      <c r="P154" s="160">
        <f t="shared" si="25"/>
        <v>0</v>
      </c>
    </row>
    <row r="155" spans="2:16" ht="13.5" thickBot="1">
      <c r="B155" t="str">
        <f t="shared" si="10"/>
        <v/>
      </c>
      <c r="C155" s="166">
        <f>IF(D94="","-",+C154+1)</f>
        <v>2072</v>
      </c>
      <c r="D155" s="214">
        <f>IF(F154+SUM(E$100:E154)=D$93,F154,D$93-SUM(E$100:E154))</f>
        <v>0</v>
      </c>
      <c r="E155" s="168">
        <f t="shared" si="26"/>
        <v>0</v>
      </c>
      <c r="F155" s="167">
        <f t="shared" si="20"/>
        <v>0</v>
      </c>
      <c r="G155" s="167">
        <f t="shared" si="21"/>
        <v>0</v>
      </c>
      <c r="H155" s="324">
        <f t="shared" si="18"/>
        <v>0</v>
      </c>
      <c r="I155" s="325">
        <f t="shared" si="19"/>
        <v>0</v>
      </c>
      <c r="J155" s="171">
        <f t="shared" si="22"/>
        <v>0</v>
      </c>
      <c r="K155" s="160"/>
      <c r="L155" s="317"/>
      <c r="M155" s="171">
        <f t="shared" si="23"/>
        <v>0</v>
      </c>
      <c r="N155" s="317"/>
      <c r="O155" s="171">
        <f t="shared" si="24"/>
        <v>0</v>
      </c>
      <c r="P155" s="171">
        <f t="shared" si="25"/>
        <v>0</v>
      </c>
    </row>
    <row r="156" spans="2:16">
      <c r="C156" s="156" t="s">
        <v>75</v>
      </c>
      <c r="D156" s="112"/>
      <c r="E156" s="112">
        <f>SUM(E100:E155)</f>
        <v>87396515</v>
      </c>
      <c r="F156" s="112"/>
      <c r="G156" s="112"/>
      <c r="H156" s="112">
        <f>SUM(H100:H155)</f>
        <v>258588110.79854566</v>
      </c>
      <c r="I156" s="112">
        <f>SUM(I100:I155)</f>
        <v>258588110.79854566</v>
      </c>
      <c r="J156" s="112">
        <f>SUM(J100:J155)</f>
        <v>0</v>
      </c>
      <c r="K156" s="112"/>
      <c r="L156" s="112"/>
      <c r="M156" s="112"/>
      <c r="N156" s="112"/>
      <c r="O156" s="112"/>
      <c r="P156" s="1"/>
    </row>
    <row r="157" spans="2:16">
      <c r="C157" t="s">
        <v>90</v>
      </c>
      <c r="D157" s="2"/>
      <c r="E157" s="1"/>
      <c r="F157" s="1"/>
      <c r="G157" s="1"/>
      <c r="H157" s="1"/>
      <c r="I157" s="3"/>
      <c r="J157" s="3"/>
      <c r="K157" s="112"/>
      <c r="L157" s="3"/>
      <c r="M157" s="3"/>
      <c r="N157" s="3"/>
      <c r="O157" s="3"/>
      <c r="P157" s="1"/>
    </row>
    <row r="158" spans="2:16">
      <c r="C158" s="215"/>
      <c r="D158" s="2"/>
      <c r="E158" s="1"/>
      <c r="F158" s="1"/>
      <c r="G158" s="1"/>
      <c r="H158" s="1"/>
      <c r="I158" s="3"/>
      <c r="J158" s="3"/>
      <c r="K158" s="112"/>
      <c r="L158" s="3"/>
      <c r="M158" s="3"/>
      <c r="N158" s="3"/>
      <c r="O158" s="3"/>
      <c r="P158" s="1"/>
    </row>
    <row r="159" spans="2:16">
      <c r="C159" s="245" t="s">
        <v>130</v>
      </c>
      <c r="D159" s="2"/>
      <c r="E159" s="1"/>
      <c r="F159" s="1"/>
      <c r="G159" s="1"/>
      <c r="H159" s="1"/>
      <c r="I159" s="3"/>
      <c r="J159" s="3"/>
      <c r="K159" s="112"/>
      <c r="L159" s="3"/>
      <c r="M159" s="3"/>
      <c r="N159" s="3"/>
      <c r="O159" s="3"/>
      <c r="P159" s="1"/>
    </row>
    <row r="160" spans="2:16">
      <c r="C160" s="124" t="s">
        <v>76</v>
      </c>
      <c r="D160" s="156"/>
      <c r="E160" s="156"/>
      <c r="F160" s="156"/>
      <c r="G160" s="156"/>
      <c r="H160" s="112"/>
      <c r="I160" s="112"/>
      <c r="J160" s="173"/>
      <c r="K160" s="173"/>
      <c r="L160" s="173"/>
      <c r="M160" s="173"/>
      <c r="N160" s="173"/>
      <c r="O160" s="173"/>
      <c r="P160" s="1"/>
    </row>
    <row r="161" spans="3:16">
      <c r="C161" s="216" t="s">
        <v>77</v>
      </c>
      <c r="D161" s="156"/>
      <c r="E161" s="156"/>
      <c r="F161" s="156"/>
      <c r="G161" s="156"/>
      <c r="H161" s="112"/>
      <c r="I161" s="112"/>
      <c r="J161" s="173"/>
      <c r="K161" s="173"/>
      <c r="L161" s="173"/>
      <c r="M161" s="173"/>
      <c r="N161" s="173"/>
      <c r="O161" s="173"/>
      <c r="P161" s="1"/>
    </row>
    <row r="162" spans="3:16">
      <c r="C162" s="216"/>
      <c r="D162" s="156"/>
      <c r="E162" s="156"/>
      <c r="F162" s="156"/>
      <c r="G162" s="156"/>
      <c r="H162" s="112"/>
      <c r="I162" s="112"/>
      <c r="J162" s="173"/>
      <c r="K162" s="173"/>
      <c r="L162" s="173"/>
      <c r="M162" s="173"/>
      <c r="N162" s="173"/>
      <c r="O162" s="173"/>
      <c r="P162" s="1"/>
    </row>
    <row r="163" spans="3:16" ht="18">
      <c r="C163" s="216"/>
      <c r="D163" s="156"/>
      <c r="E163" s="156"/>
      <c r="F163" s="156"/>
      <c r="G163" s="156"/>
      <c r="H163" s="112"/>
      <c r="I163" s="112"/>
      <c r="J163" s="173"/>
      <c r="K163" s="173"/>
      <c r="L163" s="173"/>
      <c r="M163" s="173"/>
      <c r="N163" s="173"/>
      <c r="P163" s="242"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5" zoomScaleNormal="85" workbookViewId="0">
      <selection activeCell="K19" sqref="K19:M19"/>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240" t="s">
        <v>189</v>
      </c>
      <c r="B1" s="1"/>
      <c r="C1" s="23"/>
      <c r="D1" s="2"/>
      <c r="E1" s="1"/>
      <c r="F1" s="100"/>
      <c r="G1" s="1"/>
      <c r="H1" s="3"/>
      <c r="J1" s="7"/>
      <c r="K1" s="110"/>
      <c r="L1" s="110"/>
      <c r="M1" s="110"/>
      <c r="P1" s="246" t="str">
        <f ca="1">"OKT Project "&amp;RIGHT(MID(CELL("filename",$A$1),FIND("]",CELL("filename",$A$1))+1,256),2)&amp;" of "&amp;COUNT('OKT.001:OKT.xyz - blank'!$P$3)-1</f>
        <v>OKT Project 18 of 19</v>
      </c>
    </row>
    <row r="2" spans="1:16" ht="18">
      <c r="B2" s="1"/>
      <c r="C2" s="1"/>
      <c r="D2" s="2"/>
      <c r="E2" s="1"/>
      <c r="F2" s="1"/>
      <c r="G2" s="1"/>
      <c r="H2" s="3"/>
      <c r="I2" s="1"/>
      <c r="J2" s="4"/>
      <c r="K2" s="1"/>
      <c r="L2" s="1"/>
      <c r="M2" s="1"/>
      <c r="N2" s="1"/>
      <c r="P2" s="247" t="s">
        <v>131</v>
      </c>
    </row>
    <row r="3" spans="1:16" ht="18.75">
      <c r="B3" s="5" t="s">
        <v>42</v>
      </c>
      <c r="C3" s="69" t="s">
        <v>43</v>
      </c>
      <c r="D3" s="2"/>
      <c r="E3" s="1"/>
      <c r="F3" s="1"/>
      <c r="G3" s="1"/>
      <c r="H3" s="3"/>
      <c r="I3" s="3"/>
      <c r="J3" s="112"/>
      <c r="K3" s="3"/>
      <c r="L3" s="3"/>
      <c r="M3" s="3"/>
      <c r="N3" s="3"/>
      <c r="O3" s="1"/>
      <c r="P3" s="237">
        <v>1</v>
      </c>
    </row>
    <row r="4" spans="1:16" ht="15.75" thickBot="1">
      <c r="C4" s="68"/>
      <c r="D4" s="2"/>
      <c r="E4" s="1"/>
      <c r="F4" s="1"/>
      <c r="G4" s="1"/>
      <c r="H4" s="3"/>
      <c r="I4" s="3"/>
      <c r="J4" s="112"/>
      <c r="K4" s="3"/>
      <c r="L4" s="3"/>
      <c r="M4" s="3"/>
      <c r="N4" s="3"/>
      <c r="O4" s="1"/>
      <c r="P4" s="1"/>
    </row>
    <row r="5" spans="1:16" ht="15">
      <c r="C5" s="113" t="s">
        <v>44</v>
      </c>
      <c r="D5" s="2"/>
      <c r="E5" s="1"/>
      <c r="F5" s="1"/>
      <c r="G5" s="114"/>
      <c r="H5" s="1" t="s">
        <v>45</v>
      </c>
      <c r="I5" s="1"/>
      <c r="J5" s="4"/>
      <c r="K5" s="115" t="s">
        <v>242</v>
      </c>
      <c r="L5" s="116"/>
      <c r="M5" s="117"/>
      <c r="N5" s="118">
        <f>VLOOKUP(I10,C17:I73,5)</f>
        <v>1187888.4238656519</v>
      </c>
      <c r="P5" s="1"/>
    </row>
    <row r="6" spans="1:16" ht="15.75">
      <c r="C6" s="8"/>
      <c r="D6" s="2"/>
      <c r="E6" s="1"/>
      <c r="F6" s="1"/>
      <c r="G6" s="1"/>
      <c r="H6" s="119"/>
      <c r="I6" s="119"/>
      <c r="J6" s="120"/>
      <c r="K6" s="121" t="s">
        <v>243</v>
      </c>
      <c r="L6" s="122"/>
      <c r="M6" s="4"/>
      <c r="N6" s="123">
        <f>VLOOKUP(I10,C17:I73,6)</f>
        <v>1187888.4238656519</v>
      </c>
      <c r="O6" s="1"/>
      <c r="P6" s="1"/>
    </row>
    <row r="7" spans="1:16" ht="13.5" thickBot="1">
      <c r="C7" s="124" t="s">
        <v>46</v>
      </c>
      <c r="D7" s="222" t="s">
        <v>264</v>
      </c>
      <c r="E7" s="1"/>
      <c r="F7" s="1"/>
      <c r="G7" s="1"/>
      <c r="H7" s="3"/>
      <c r="I7" s="3"/>
      <c r="J7" s="112"/>
      <c r="K7" s="125" t="s">
        <v>47</v>
      </c>
      <c r="L7" s="126"/>
      <c r="M7" s="126"/>
      <c r="N7" s="127">
        <f>+N6-N5</f>
        <v>0</v>
      </c>
      <c r="O7" s="1"/>
      <c r="P7" s="1"/>
    </row>
    <row r="8" spans="1:16" ht="13.5" thickBot="1">
      <c r="C8" s="128"/>
      <c r="D8" s="244" t="str">
        <f>IF(D10&lt;100000,"DOES NOT MEET SPP $100,000 MINIMUM INVESTMENT FOR REGIONAL BPU SHARING.","")</f>
        <v/>
      </c>
      <c r="E8" s="129"/>
      <c r="F8" s="129"/>
      <c r="G8" s="129"/>
      <c r="H8" s="129"/>
      <c r="I8" s="129"/>
      <c r="J8" s="102"/>
      <c r="K8" s="129"/>
      <c r="L8" s="129"/>
      <c r="M8" s="129"/>
      <c r="N8" s="129"/>
      <c r="O8" s="102"/>
      <c r="P8" s="23"/>
    </row>
    <row r="9" spans="1:16" ht="13.5" thickBot="1">
      <c r="C9" s="130" t="s">
        <v>48</v>
      </c>
      <c r="D9" s="224" t="s">
        <v>266</v>
      </c>
      <c r="E9" s="131"/>
      <c r="F9" s="131"/>
      <c r="G9" s="131"/>
      <c r="H9" s="131"/>
      <c r="I9" s="132"/>
      <c r="J9" s="133"/>
      <c r="O9" s="134"/>
      <c r="P9" s="4"/>
    </row>
    <row r="10" spans="1:16">
      <c r="C10" s="135" t="s">
        <v>49</v>
      </c>
      <c r="D10" s="136">
        <v>8591402</v>
      </c>
      <c r="E10" s="63" t="s">
        <v>50</v>
      </c>
      <c r="F10" s="134"/>
      <c r="G10" s="137"/>
      <c r="H10" s="137"/>
      <c r="I10" s="138">
        <f>+OKT.WS.F.BPU.ATRR.Projected!R100</f>
        <v>2018</v>
      </c>
      <c r="J10" s="133"/>
      <c r="K10" s="112" t="s">
        <v>51</v>
      </c>
      <c r="O10" s="4"/>
      <c r="P10" s="4"/>
    </row>
    <row r="11" spans="1:16">
      <c r="C11" s="139" t="s">
        <v>52</v>
      </c>
      <c r="D11" s="140">
        <v>2016</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row>
    <row r="12" spans="1:16">
      <c r="C12" s="139" t="s">
        <v>54</v>
      </c>
      <c r="D12" s="136">
        <v>12</v>
      </c>
      <c r="E12" s="139" t="s">
        <v>55</v>
      </c>
      <c r="F12" s="137"/>
      <c r="G12" s="7"/>
      <c r="H12" s="7"/>
      <c r="I12" s="143">
        <f>OKT.WS.F.BPU.ATRR.Projected!$F$78</f>
        <v>0.11749102697326873</v>
      </c>
      <c r="J12" s="144"/>
      <c r="K12" t="s">
        <v>56</v>
      </c>
      <c r="O12" s="4"/>
      <c r="P12" s="4"/>
    </row>
    <row r="13" spans="1:16">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row>
    <row r="14" spans="1:16" ht="13.5" thickBot="1">
      <c r="C14" s="139" t="s">
        <v>60</v>
      </c>
      <c r="D14" s="140" t="s">
        <v>61</v>
      </c>
      <c r="E14" s="4" t="s">
        <v>62</v>
      </c>
      <c r="F14" s="137"/>
      <c r="G14" s="7"/>
      <c r="H14" s="7"/>
      <c r="I14" s="145">
        <f>IF(D10=0,0,D10/D13)</f>
        <v>210700.54229669485</v>
      </c>
      <c r="J14" s="112"/>
      <c r="K14" s="112"/>
      <c r="L14" s="112"/>
      <c r="M14" s="112"/>
      <c r="N14" s="112"/>
      <c r="O14" s="4"/>
      <c r="P14" s="4"/>
    </row>
    <row r="15" spans="1:16"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row>
    <row r="16" spans="1:16"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row>
    <row r="17" spans="2:16" ht="13.5" thickBot="1">
      <c r="B17" t="str">
        <f t="shared" ref="B17:B71" si="0">IF(D17=F16,"","IU")</f>
        <v>IU</v>
      </c>
      <c r="C17" s="155">
        <f>IF(D11= "","-",D11)</f>
        <v>2016</v>
      </c>
      <c r="D17" s="156">
        <v>0</v>
      </c>
      <c r="E17" s="157">
        <v>0</v>
      </c>
      <c r="F17" s="161">
        <v>8591402</v>
      </c>
      <c r="G17" s="157">
        <v>472269.24918780552</v>
      </c>
      <c r="H17" s="145">
        <v>472269.24918780552</v>
      </c>
      <c r="I17" s="158">
        <f t="shared" ref="I17:I71" si="1">H17-G17</f>
        <v>0</v>
      </c>
      <c r="J17" s="158"/>
      <c r="K17" s="318">
        <f>+G17</f>
        <v>472269.24918780552</v>
      </c>
      <c r="L17" s="159">
        <f t="shared" ref="L17:L71" si="2">IF(K17&lt;&gt;0,+G17-K17,0)</f>
        <v>0</v>
      </c>
      <c r="M17" s="318">
        <f>+H17</f>
        <v>472269.24918780552</v>
      </c>
      <c r="N17" s="159">
        <f t="shared" ref="N17:N71" si="3">IF(M17&lt;&gt;0,+H17-M17,0)</f>
        <v>0</v>
      </c>
      <c r="O17" s="160">
        <f t="shared" ref="O17:O71" si="4">+N17-L17</f>
        <v>0</v>
      </c>
      <c r="P17" s="4"/>
    </row>
    <row r="18" spans="2:16" ht="13.5" thickBot="1">
      <c r="B18" t="str">
        <f t="shared" si="0"/>
        <v/>
      </c>
      <c r="C18" s="155">
        <f>IF(D11="","-",+C17+1)</f>
        <v>2017</v>
      </c>
      <c r="D18" s="164">
        <v>8591402</v>
      </c>
      <c r="E18" s="162">
        <v>168923.97243767302</v>
      </c>
      <c r="F18" s="161">
        <v>8422478.0275623277</v>
      </c>
      <c r="G18" s="163">
        <v>1104176.7223832884</v>
      </c>
      <c r="H18" s="145">
        <v>1104176.7223832884</v>
      </c>
      <c r="I18" s="158">
        <f t="shared" si="1"/>
        <v>0</v>
      </c>
      <c r="J18" s="158"/>
      <c r="K18" s="318">
        <f>+G18</f>
        <v>1104176.7223832884</v>
      </c>
      <c r="L18" s="159">
        <f t="shared" ref="L18" si="5">IF(K18&lt;&gt;0,+G18-K18,0)</f>
        <v>0</v>
      </c>
      <c r="M18" s="318">
        <f>+H18</f>
        <v>1104176.7223832884</v>
      </c>
      <c r="N18" s="160">
        <f t="shared" si="3"/>
        <v>0</v>
      </c>
      <c r="O18" s="160">
        <f t="shared" si="4"/>
        <v>0</v>
      </c>
      <c r="P18" s="4"/>
    </row>
    <row r="19" spans="2:16">
      <c r="B19" t="str">
        <f t="shared" si="0"/>
        <v/>
      </c>
      <c r="C19" s="155">
        <f>IF(D11="","-",+C18+1)</f>
        <v>2018</v>
      </c>
      <c r="D19" s="164">
        <v>8422478.0275623277</v>
      </c>
      <c r="E19" s="162">
        <v>210700.54229669485</v>
      </c>
      <c r="F19" s="161">
        <v>8211777.4852656331</v>
      </c>
      <c r="G19" s="163">
        <v>1187888.4238656519</v>
      </c>
      <c r="H19" s="145">
        <v>1187888.4238656519</v>
      </c>
      <c r="I19" s="158">
        <f t="shared" si="1"/>
        <v>0</v>
      </c>
      <c r="J19" s="158"/>
      <c r="K19" s="318">
        <f>+G19</f>
        <v>1187888.4238656519</v>
      </c>
      <c r="L19" s="159">
        <f t="shared" ref="L19" si="6">IF(K19&lt;&gt;0,+G19-K19,0)</f>
        <v>0</v>
      </c>
      <c r="M19" s="318">
        <f>+H19</f>
        <v>1187888.4238656519</v>
      </c>
      <c r="N19" s="160">
        <f t="shared" si="3"/>
        <v>0</v>
      </c>
      <c r="O19" s="160">
        <f t="shared" si="4"/>
        <v>0</v>
      </c>
      <c r="P19" s="4"/>
    </row>
    <row r="20" spans="2:16">
      <c r="B20" t="str">
        <f t="shared" si="0"/>
        <v/>
      </c>
      <c r="C20" s="155">
        <f>IF(D11="","-",+C19+1)</f>
        <v>2019</v>
      </c>
      <c r="D20" s="164">
        <f>IF(F19+SUM(E$17:E19)=D$10,F19,D$10-SUM(E$17:E19))</f>
        <v>8211777.4852656331</v>
      </c>
      <c r="E20" s="162">
        <f t="shared" ref="E20:E71" si="7">IF(+I$14&lt;F19,I$14,D20)</f>
        <v>210700.54229669485</v>
      </c>
      <c r="F20" s="161">
        <f t="shared" ref="F20:F71" si="8">+D20-E20</f>
        <v>8001076.9429689385</v>
      </c>
      <c r="G20" s="163">
        <f t="shared" ref="G20:G71" si="9">(D20+F20)/2*I$12+E20</f>
        <v>1163133.0007673886</v>
      </c>
      <c r="H20" s="145">
        <f t="shared" ref="H20:H71" si="10">+(D20+F20)/2*I$13+E20</f>
        <v>1163133.0007673886</v>
      </c>
      <c r="I20" s="158">
        <f t="shared" si="1"/>
        <v>0</v>
      </c>
      <c r="J20" s="158"/>
      <c r="K20" s="316"/>
      <c r="L20" s="160">
        <f t="shared" si="2"/>
        <v>0</v>
      </c>
      <c r="M20" s="316"/>
      <c r="N20" s="160">
        <f t="shared" si="3"/>
        <v>0</v>
      </c>
      <c r="O20" s="160">
        <f t="shared" si="4"/>
        <v>0</v>
      </c>
      <c r="P20" s="4"/>
    </row>
    <row r="21" spans="2:16">
      <c r="B21" t="str">
        <f t="shared" si="0"/>
        <v/>
      </c>
      <c r="C21" s="155">
        <f>IF(D11="","-",+C20+1)</f>
        <v>2020</v>
      </c>
      <c r="D21" s="164">
        <f>IF(F20+SUM(E$17:E20)=D$10,F20,D$10-SUM(E$17:E20))</f>
        <v>8001076.9429689385</v>
      </c>
      <c r="E21" s="162">
        <f t="shared" si="7"/>
        <v>210700.54229669485</v>
      </c>
      <c r="F21" s="161">
        <f t="shared" si="8"/>
        <v>7790376.4006722439</v>
      </c>
      <c r="G21" s="163">
        <f t="shared" si="9"/>
        <v>1138377.5776691253</v>
      </c>
      <c r="H21" s="145">
        <f t="shared" si="10"/>
        <v>1138377.5776691253</v>
      </c>
      <c r="I21" s="158">
        <f t="shared" si="1"/>
        <v>0</v>
      </c>
      <c r="J21" s="158"/>
      <c r="K21" s="316"/>
      <c r="L21" s="160">
        <f t="shared" si="2"/>
        <v>0</v>
      </c>
      <c r="M21" s="316"/>
      <c r="N21" s="160">
        <f t="shared" si="3"/>
        <v>0</v>
      </c>
      <c r="O21" s="160">
        <f t="shared" si="4"/>
        <v>0</v>
      </c>
      <c r="P21" s="4"/>
    </row>
    <row r="22" spans="2:16">
      <c r="B22" t="str">
        <f t="shared" si="0"/>
        <v/>
      </c>
      <c r="C22" s="155">
        <f>IF(D11="","-",+C21+1)</f>
        <v>2021</v>
      </c>
      <c r="D22" s="164">
        <f>IF(F21+SUM(E$17:E21)=D$10,F21,D$10-SUM(E$17:E21))</f>
        <v>7790376.4006722439</v>
      </c>
      <c r="E22" s="162">
        <f t="shared" si="7"/>
        <v>210700.54229669485</v>
      </c>
      <c r="F22" s="161">
        <f t="shared" si="8"/>
        <v>7579675.8583755493</v>
      </c>
      <c r="G22" s="163">
        <f t="shared" si="9"/>
        <v>1113622.154570862</v>
      </c>
      <c r="H22" s="145">
        <f t="shared" si="10"/>
        <v>1113622.154570862</v>
      </c>
      <c r="I22" s="158">
        <f t="shared" si="1"/>
        <v>0</v>
      </c>
      <c r="J22" s="158"/>
      <c r="K22" s="316"/>
      <c r="L22" s="160">
        <f t="shared" si="2"/>
        <v>0</v>
      </c>
      <c r="M22" s="316"/>
      <c r="N22" s="160">
        <f t="shared" si="3"/>
        <v>0</v>
      </c>
      <c r="O22" s="160">
        <f t="shared" si="4"/>
        <v>0</v>
      </c>
      <c r="P22" s="4"/>
    </row>
    <row r="23" spans="2:16">
      <c r="B23" t="str">
        <f t="shared" si="0"/>
        <v/>
      </c>
      <c r="C23" s="155">
        <f>IF(D11="","-",+C22+1)</f>
        <v>2022</v>
      </c>
      <c r="D23" s="164">
        <f>IF(F22+SUM(E$17:E22)=D$10,F22,D$10-SUM(E$17:E22))</f>
        <v>7579675.8583755493</v>
      </c>
      <c r="E23" s="162">
        <f t="shared" si="7"/>
        <v>210700.54229669485</v>
      </c>
      <c r="F23" s="161">
        <f t="shared" si="8"/>
        <v>7368975.3160788547</v>
      </c>
      <c r="G23" s="163">
        <f t="shared" si="9"/>
        <v>1088866.7314725986</v>
      </c>
      <c r="H23" s="145">
        <f t="shared" si="10"/>
        <v>1088866.7314725986</v>
      </c>
      <c r="I23" s="158">
        <f t="shared" si="1"/>
        <v>0</v>
      </c>
      <c r="J23" s="158"/>
      <c r="K23" s="316"/>
      <c r="L23" s="160">
        <f t="shared" si="2"/>
        <v>0</v>
      </c>
      <c r="M23" s="316"/>
      <c r="N23" s="160">
        <f t="shared" si="3"/>
        <v>0</v>
      </c>
      <c r="O23" s="160">
        <f t="shared" si="4"/>
        <v>0</v>
      </c>
      <c r="P23" s="4"/>
    </row>
    <row r="24" spans="2:16">
      <c r="B24" t="str">
        <f t="shared" si="0"/>
        <v/>
      </c>
      <c r="C24" s="155">
        <f>IF(D11="","-",+C23+1)</f>
        <v>2023</v>
      </c>
      <c r="D24" s="164">
        <f>IF(F23+SUM(E$17:E23)=D$10,F23,D$10-SUM(E$17:E23))</f>
        <v>7368975.3160788547</v>
      </c>
      <c r="E24" s="162">
        <f t="shared" si="7"/>
        <v>210700.54229669485</v>
      </c>
      <c r="F24" s="161">
        <f t="shared" si="8"/>
        <v>7158274.7737821601</v>
      </c>
      <c r="G24" s="163">
        <f t="shared" si="9"/>
        <v>1064111.3083743353</v>
      </c>
      <c r="H24" s="145">
        <f t="shared" si="10"/>
        <v>1064111.3083743353</v>
      </c>
      <c r="I24" s="158">
        <f t="shared" si="1"/>
        <v>0</v>
      </c>
      <c r="J24" s="158"/>
      <c r="K24" s="316"/>
      <c r="L24" s="160">
        <f t="shared" si="2"/>
        <v>0</v>
      </c>
      <c r="M24" s="316"/>
      <c r="N24" s="160">
        <f t="shared" si="3"/>
        <v>0</v>
      </c>
      <c r="O24" s="160">
        <f t="shared" si="4"/>
        <v>0</v>
      </c>
      <c r="P24" s="4"/>
    </row>
    <row r="25" spans="2:16">
      <c r="B25" t="str">
        <f t="shared" si="0"/>
        <v/>
      </c>
      <c r="C25" s="155">
        <f>IF(D11="","-",+C24+1)</f>
        <v>2024</v>
      </c>
      <c r="D25" s="164">
        <f>IF(F24+SUM(E$17:E24)=D$10,F24,D$10-SUM(E$17:E24))</f>
        <v>7158274.7737821601</v>
      </c>
      <c r="E25" s="162">
        <f t="shared" si="7"/>
        <v>210700.54229669485</v>
      </c>
      <c r="F25" s="161">
        <f t="shared" si="8"/>
        <v>6947574.2314854655</v>
      </c>
      <c r="G25" s="163">
        <f t="shared" si="9"/>
        <v>1039355.8852760721</v>
      </c>
      <c r="H25" s="145">
        <f t="shared" si="10"/>
        <v>1039355.8852760721</v>
      </c>
      <c r="I25" s="158">
        <f t="shared" si="1"/>
        <v>0</v>
      </c>
      <c r="J25" s="158"/>
      <c r="K25" s="316"/>
      <c r="L25" s="160">
        <f t="shared" si="2"/>
        <v>0</v>
      </c>
      <c r="M25" s="316"/>
      <c r="N25" s="160">
        <f t="shared" si="3"/>
        <v>0</v>
      </c>
      <c r="O25" s="160">
        <f t="shared" si="4"/>
        <v>0</v>
      </c>
      <c r="P25" s="4"/>
    </row>
    <row r="26" spans="2:16">
      <c r="B26" t="str">
        <f t="shared" si="0"/>
        <v/>
      </c>
      <c r="C26" s="155">
        <f>IF(D11="","-",+C25+1)</f>
        <v>2025</v>
      </c>
      <c r="D26" s="164">
        <f>IF(F25+SUM(E$17:E25)=D$10,F25,D$10-SUM(E$17:E25))</f>
        <v>6947574.2314854655</v>
      </c>
      <c r="E26" s="162">
        <f t="shared" si="7"/>
        <v>210700.54229669485</v>
      </c>
      <c r="F26" s="161">
        <f t="shared" si="8"/>
        <v>6736873.6891887709</v>
      </c>
      <c r="G26" s="163">
        <f t="shared" si="9"/>
        <v>1014600.4621778087</v>
      </c>
      <c r="H26" s="145">
        <f t="shared" si="10"/>
        <v>1014600.4621778087</v>
      </c>
      <c r="I26" s="158">
        <f t="shared" si="1"/>
        <v>0</v>
      </c>
      <c r="J26" s="158"/>
      <c r="K26" s="316"/>
      <c r="L26" s="160">
        <f t="shared" si="2"/>
        <v>0</v>
      </c>
      <c r="M26" s="316"/>
      <c r="N26" s="160">
        <f t="shared" si="3"/>
        <v>0</v>
      </c>
      <c r="O26" s="160">
        <f t="shared" si="4"/>
        <v>0</v>
      </c>
      <c r="P26" s="4"/>
    </row>
    <row r="27" spans="2:16">
      <c r="B27" t="str">
        <f t="shared" si="0"/>
        <v/>
      </c>
      <c r="C27" s="155">
        <f>IF(D11="","-",+C26+1)</f>
        <v>2026</v>
      </c>
      <c r="D27" s="164">
        <f>IF(F26+SUM(E$17:E26)=D$10,F26,D$10-SUM(E$17:E26))</f>
        <v>6736873.6891887709</v>
      </c>
      <c r="E27" s="162">
        <f t="shared" si="7"/>
        <v>210700.54229669485</v>
      </c>
      <c r="F27" s="161">
        <f t="shared" si="8"/>
        <v>6526173.1468920764</v>
      </c>
      <c r="G27" s="163">
        <f t="shared" si="9"/>
        <v>989845.03907954542</v>
      </c>
      <c r="H27" s="145">
        <f t="shared" si="10"/>
        <v>989845.03907954542</v>
      </c>
      <c r="I27" s="158">
        <f t="shared" si="1"/>
        <v>0</v>
      </c>
      <c r="J27" s="158"/>
      <c r="K27" s="316"/>
      <c r="L27" s="160">
        <f t="shared" si="2"/>
        <v>0</v>
      </c>
      <c r="M27" s="316"/>
      <c r="N27" s="160">
        <f t="shared" si="3"/>
        <v>0</v>
      </c>
      <c r="O27" s="160">
        <f t="shared" si="4"/>
        <v>0</v>
      </c>
      <c r="P27" s="4"/>
    </row>
    <row r="28" spans="2:16">
      <c r="B28" t="str">
        <f t="shared" si="0"/>
        <v/>
      </c>
      <c r="C28" s="155">
        <f>IF(D11="","-",+C27+1)</f>
        <v>2027</v>
      </c>
      <c r="D28" s="164">
        <f>IF(F27+SUM(E$17:E27)=D$10,F27,D$10-SUM(E$17:E27))</f>
        <v>6526173.1468920764</v>
      </c>
      <c r="E28" s="162">
        <f t="shared" si="7"/>
        <v>210700.54229669485</v>
      </c>
      <c r="F28" s="161">
        <f t="shared" si="8"/>
        <v>6315472.6045953818</v>
      </c>
      <c r="G28" s="163">
        <f t="shared" si="9"/>
        <v>965089.6159812822</v>
      </c>
      <c r="H28" s="145">
        <f t="shared" si="10"/>
        <v>965089.6159812822</v>
      </c>
      <c r="I28" s="158">
        <f t="shared" si="1"/>
        <v>0</v>
      </c>
      <c r="J28" s="158"/>
      <c r="K28" s="316"/>
      <c r="L28" s="160">
        <f t="shared" si="2"/>
        <v>0</v>
      </c>
      <c r="M28" s="316"/>
      <c r="N28" s="160">
        <f t="shared" si="3"/>
        <v>0</v>
      </c>
      <c r="O28" s="160">
        <f t="shared" si="4"/>
        <v>0</v>
      </c>
      <c r="P28" s="4"/>
    </row>
    <row r="29" spans="2:16">
      <c r="B29" t="str">
        <f t="shared" si="0"/>
        <v/>
      </c>
      <c r="C29" s="155">
        <f>IF(D11="","-",+C28+1)</f>
        <v>2028</v>
      </c>
      <c r="D29" s="164">
        <f>IF(F28+SUM(E$17:E28)=D$10,F28,D$10-SUM(E$17:E28))</f>
        <v>6315472.6045953818</v>
      </c>
      <c r="E29" s="162">
        <f t="shared" si="7"/>
        <v>210700.54229669485</v>
      </c>
      <c r="F29" s="161">
        <f t="shared" si="8"/>
        <v>6104772.0622986872</v>
      </c>
      <c r="G29" s="163">
        <f t="shared" si="9"/>
        <v>940334.19288301887</v>
      </c>
      <c r="H29" s="145">
        <f t="shared" si="10"/>
        <v>940334.19288301887</v>
      </c>
      <c r="I29" s="158">
        <f t="shared" si="1"/>
        <v>0</v>
      </c>
      <c r="J29" s="158"/>
      <c r="K29" s="316"/>
      <c r="L29" s="160">
        <f t="shared" si="2"/>
        <v>0</v>
      </c>
      <c r="M29" s="316"/>
      <c r="N29" s="160">
        <f t="shared" si="3"/>
        <v>0</v>
      </c>
      <c r="O29" s="160">
        <f t="shared" si="4"/>
        <v>0</v>
      </c>
      <c r="P29" s="4"/>
    </row>
    <row r="30" spans="2:16">
      <c r="B30" t="str">
        <f t="shared" si="0"/>
        <v/>
      </c>
      <c r="C30" s="155">
        <f>IF(D11="","-",+C29+1)</f>
        <v>2029</v>
      </c>
      <c r="D30" s="164">
        <f>IF(F29+SUM(E$17:E29)=D$10,F29,D$10-SUM(E$17:E29))</f>
        <v>6104772.0622986872</v>
      </c>
      <c r="E30" s="162">
        <f t="shared" si="7"/>
        <v>210700.54229669485</v>
      </c>
      <c r="F30" s="161">
        <f t="shared" si="8"/>
        <v>5894071.5200019926</v>
      </c>
      <c r="G30" s="163">
        <f t="shared" si="9"/>
        <v>915578.76978475554</v>
      </c>
      <c r="H30" s="145">
        <f t="shared" si="10"/>
        <v>915578.76978475554</v>
      </c>
      <c r="I30" s="158">
        <f t="shared" si="1"/>
        <v>0</v>
      </c>
      <c r="J30" s="158"/>
      <c r="K30" s="316"/>
      <c r="L30" s="160">
        <f t="shared" si="2"/>
        <v>0</v>
      </c>
      <c r="M30" s="316"/>
      <c r="N30" s="160">
        <f t="shared" si="3"/>
        <v>0</v>
      </c>
      <c r="O30" s="160">
        <f t="shared" si="4"/>
        <v>0</v>
      </c>
      <c r="P30" s="4"/>
    </row>
    <row r="31" spans="2:16">
      <c r="B31" t="str">
        <f t="shared" si="0"/>
        <v/>
      </c>
      <c r="C31" s="155">
        <f>IF(D11="","-",+C30+1)</f>
        <v>2030</v>
      </c>
      <c r="D31" s="164">
        <f>IF(F30+SUM(E$17:E30)=D$10,F30,D$10-SUM(E$17:E30))</f>
        <v>5894071.5200019926</v>
      </c>
      <c r="E31" s="162">
        <f t="shared" si="7"/>
        <v>210700.54229669485</v>
      </c>
      <c r="F31" s="161">
        <f t="shared" si="8"/>
        <v>5683370.977705298</v>
      </c>
      <c r="G31" s="163">
        <f t="shared" si="9"/>
        <v>890823.34668649232</v>
      </c>
      <c r="H31" s="145">
        <f t="shared" si="10"/>
        <v>890823.34668649232</v>
      </c>
      <c r="I31" s="158">
        <f t="shared" si="1"/>
        <v>0</v>
      </c>
      <c r="J31" s="158"/>
      <c r="K31" s="316"/>
      <c r="L31" s="160">
        <f t="shared" si="2"/>
        <v>0</v>
      </c>
      <c r="M31" s="316"/>
      <c r="N31" s="160">
        <f t="shared" si="3"/>
        <v>0</v>
      </c>
      <c r="O31" s="160">
        <f t="shared" si="4"/>
        <v>0</v>
      </c>
      <c r="P31" s="4"/>
    </row>
    <row r="32" spans="2:16">
      <c r="B32" t="str">
        <f t="shared" si="0"/>
        <v/>
      </c>
      <c r="C32" s="155">
        <f>IF(D11="","-",+C31+1)</f>
        <v>2031</v>
      </c>
      <c r="D32" s="164">
        <f>IF(F31+SUM(E$17:E31)=D$10,F31,D$10-SUM(E$17:E31))</f>
        <v>5683370.977705298</v>
      </c>
      <c r="E32" s="162">
        <f t="shared" si="7"/>
        <v>210700.54229669485</v>
      </c>
      <c r="F32" s="161">
        <f t="shared" si="8"/>
        <v>5472670.4354086034</v>
      </c>
      <c r="G32" s="163">
        <f t="shared" si="9"/>
        <v>866067.92358822899</v>
      </c>
      <c r="H32" s="145">
        <f t="shared" si="10"/>
        <v>866067.92358822899</v>
      </c>
      <c r="I32" s="158">
        <f t="shared" si="1"/>
        <v>0</v>
      </c>
      <c r="J32" s="158"/>
      <c r="K32" s="316"/>
      <c r="L32" s="160">
        <f t="shared" si="2"/>
        <v>0</v>
      </c>
      <c r="M32" s="316"/>
      <c r="N32" s="160">
        <f t="shared" si="3"/>
        <v>0</v>
      </c>
      <c r="O32" s="160">
        <f t="shared" si="4"/>
        <v>0</v>
      </c>
      <c r="P32" s="4"/>
    </row>
    <row r="33" spans="2:16">
      <c r="B33" t="str">
        <f t="shared" si="0"/>
        <v/>
      </c>
      <c r="C33" s="155">
        <f>IF(D11="","-",+C32+1)</f>
        <v>2032</v>
      </c>
      <c r="D33" s="164">
        <f>IF(F32+SUM(E$17:E32)=D$10,F32,D$10-SUM(E$17:E32))</f>
        <v>5472670.4354085978</v>
      </c>
      <c r="E33" s="162">
        <f t="shared" si="7"/>
        <v>210700.54229669485</v>
      </c>
      <c r="F33" s="161">
        <f t="shared" si="8"/>
        <v>5261969.8931119032</v>
      </c>
      <c r="G33" s="163">
        <f t="shared" si="9"/>
        <v>841312.50048996508</v>
      </c>
      <c r="H33" s="145">
        <f t="shared" si="10"/>
        <v>841312.50048996508</v>
      </c>
      <c r="I33" s="158">
        <f t="shared" si="1"/>
        <v>0</v>
      </c>
      <c r="J33" s="158"/>
      <c r="K33" s="316"/>
      <c r="L33" s="160">
        <f t="shared" si="2"/>
        <v>0</v>
      </c>
      <c r="M33" s="316"/>
      <c r="N33" s="160">
        <f t="shared" si="3"/>
        <v>0</v>
      </c>
      <c r="O33" s="160">
        <f t="shared" si="4"/>
        <v>0</v>
      </c>
      <c r="P33" s="4"/>
    </row>
    <row r="34" spans="2:16">
      <c r="B34" t="str">
        <f t="shared" si="0"/>
        <v/>
      </c>
      <c r="C34" s="155">
        <f>IF(D11="","-",+C33+1)</f>
        <v>2033</v>
      </c>
      <c r="D34" s="164">
        <f>IF(F33+SUM(E$17:E33)=D$10,F33,D$10-SUM(E$17:E33))</f>
        <v>5261969.8931119032</v>
      </c>
      <c r="E34" s="162">
        <f t="shared" si="7"/>
        <v>210700.54229669485</v>
      </c>
      <c r="F34" s="161">
        <f t="shared" si="8"/>
        <v>5051269.3508152086</v>
      </c>
      <c r="G34" s="163">
        <f t="shared" si="9"/>
        <v>816557.07739170175</v>
      </c>
      <c r="H34" s="145">
        <f t="shared" si="10"/>
        <v>816557.07739170175</v>
      </c>
      <c r="I34" s="158">
        <f t="shared" si="1"/>
        <v>0</v>
      </c>
      <c r="J34" s="158"/>
      <c r="K34" s="316"/>
      <c r="L34" s="160">
        <f t="shared" si="2"/>
        <v>0</v>
      </c>
      <c r="M34" s="316"/>
      <c r="N34" s="160">
        <f t="shared" si="3"/>
        <v>0</v>
      </c>
      <c r="O34" s="160">
        <f t="shared" si="4"/>
        <v>0</v>
      </c>
      <c r="P34" s="4"/>
    </row>
    <row r="35" spans="2:16">
      <c r="B35" t="str">
        <f t="shared" si="0"/>
        <v/>
      </c>
      <c r="C35" s="155">
        <f>IF(D11="","-",+C34+1)</f>
        <v>2034</v>
      </c>
      <c r="D35" s="164">
        <f>IF(F34+SUM(E$17:E34)=D$10,F34,D$10-SUM(E$17:E34))</f>
        <v>5051269.3508152086</v>
      </c>
      <c r="E35" s="162">
        <f t="shared" si="7"/>
        <v>210700.54229669485</v>
      </c>
      <c r="F35" s="161">
        <f t="shared" si="8"/>
        <v>4840568.808518514</v>
      </c>
      <c r="G35" s="163">
        <f t="shared" si="9"/>
        <v>791801.65429343842</v>
      </c>
      <c r="H35" s="145">
        <f t="shared" si="10"/>
        <v>791801.65429343842</v>
      </c>
      <c r="I35" s="158">
        <f t="shared" si="1"/>
        <v>0</v>
      </c>
      <c r="J35" s="158"/>
      <c r="K35" s="316"/>
      <c r="L35" s="160">
        <f t="shared" si="2"/>
        <v>0</v>
      </c>
      <c r="M35" s="316"/>
      <c r="N35" s="160">
        <f t="shared" si="3"/>
        <v>0</v>
      </c>
      <c r="O35" s="160">
        <f t="shared" si="4"/>
        <v>0</v>
      </c>
      <c r="P35" s="4"/>
    </row>
    <row r="36" spans="2:16">
      <c r="B36" t="str">
        <f t="shared" si="0"/>
        <v/>
      </c>
      <c r="C36" s="155">
        <f>IF(D11="","-",+C35+1)</f>
        <v>2035</v>
      </c>
      <c r="D36" s="164">
        <f>IF(F35+SUM(E$17:E35)=D$10,F35,D$10-SUM(E$17:E35))</f>
        <v>4840568.808518514</v>
      </c>
      <c r="E36" s="162">
        <f t="shared" si="7"/>
        <v>210700.54229669485</v>
      </c>
      <c r="F36" s="161">
        <f t="shared" si="8"/>
        <v>4629868.2662218194</v>
      </c>
      <c r="G36" s="163">
        <f t="shared" si="9"/>
        <v>767046.23119517521</v>
      </c>
      <c r="H36" s="145">
        <f t="shared" si="10"/>
        <v>767046.23119517521</v>
      </c>
      <c r="I36" s="158">
        <f t="shared" si="1"/>
        <v>0</v>
      </c>
      <c r="J36" s="158"/>
      <c r="K36" s="316"/>
      <c r="L36" s="160">
        <f t="shared" si="2"/>
        <v>0</v>
      </c>
      <c r="M36" s="316"/>
      <c r="N36" s="160">
        <f t="shared" si="3"/>
        <v>0</v>
      </c>
      <c r="O36" s="160">
        <f t="shared" si="4"/>
        <v>0</v>
      </c>
      <c r="P36" s="4"/>
    </row>
    <row r="37" spans="2:16">
      <c r="B37" t="str">
        <f t="shared" si="0"/>
        <v/>
      </c>
      <c r="C37" s="155">
        <f>IF(D11="","-",+C36+1)</f>
        <v>2036</v>
      </c>
      <c r="D37" s="164">
        <f>IF(F36+SUM(E$17:E36)=D$10,F36,D$10-SUM(E$17:E36))</f>
        <v>4629868.2662218194</v>
      </c>
      <c r="E37" s="162">
        <f t="shared" si="7"/>
        <v>210700.54229669485</v>
      </c>
      <c r="F37" s="161">
        <f t="shared" si="8"/>
        <v>4419167.7239251249</v>
      </c>
      <c r="G37" s="163">
        <f t="shared" si="9"/>
        <v>742290.80809691187</v>
      </c>
      <c r="H37" s="145">
        <f t="shared" si="10"/>
        <v>742290.80809691187</v>
      </c>
      <c r="I37" s="158">
        <f t="shared" si="1"/>
        <v>0</v>
      </c>
      <c r="J37" s="158"/>
      <c r="K37" s="316"/>
      <c r="L37" s="160">
        <f t="shared" si="2"/>
        <v>0</v>
      </c>
      <c r="M37" s="316"/>
      <c r="N37" s="160">
        <f t="shared" si="3"/>
        <v>0</v>
      </c>
      <c r="O37" s="160">
        <f t="shared" si="4"/>
        <v>0</v>
      </c>
      <c r="P37" s="4"/>
    </row>
    <row r="38" spans="2:16">
      <c r="B38" t="str">
        <f t="shared" si="0"/>
        <v/>
      </c>
      <c r="C38" s="155">
        <f>IF(D11="","-",+C37+1)</f>
        <v>2037</v>
      </c>
      <c r="D38" s="164">
        <f>IF(F37+SUM(E$17:E37)=D$10,F37,D$10-SUM(E$17:E37))</f>
        <v>4419167.7239251249</v>
      </c>
      <c r="E38" s="162">
        <f t="shared" si="7"/>
        <v>210700.54229669485</v>
      </c>
      <c r="F38" s="161">
        <f t="shared" si="8"/>
        <v>4208467.1816284303</v>
      </c>
      <c r="G38" s="163">
        <f t="shared" si="9"/>
        <v>717535.38499864866</v>
      </c>
      <c r="H38" s="145">
        <f t="shared" si="10"/>
        <v>717535.38499864866</v>
      </c>
      <c r="I38" s="158">
        <f t="shared" si="1"/>
        <v>0</v>
      </c>
      <c r="J38" s="158"/>
      <c r="K38" s="316"/>
      <c r="L38" s="160">
        <f t="shared" si="2"/>
        <v>0</v>
      </c>
      <c r="M38" s="316"/>
      <c r="N38" s="160">
        <f t="shared" si="3"/>
        <v>0</v>
      </c>
      <c r="O38" s="160">
        <f t="shared" si="4"/>
        <v>0</v>
      </c>
      <c r="P38" s="4"/>
    </row>
    <row r="39" spans="2:16">
      <c r="B39" t="str">
        <f t="shared" si="0"/>
        <v/>
      </c>
      <c r="C39" s="155">
        <f>IF(D11="","-",+C38+1)</f>
        <v>2038</v>
      </c>
      <c r="D39" s="164">
        <f>IF(F38+SUM(E$17:E38)=D$10,F38,D$10-SUM(E$17:E38))</f>
        <v>4208467.1816284303</v>
      </c>
      <c r="E39" s="162">
        <f t="shared" si="7"/>
        <v>210700.54229669485</v>
      </c>
      <c r="F39" s="161">
        <f t="shared" si="8"/>
        <v>3997766.6393317352</v>
      </c>
      <c r="G39" s="163">
        <f t="shared" si="9"/>
        <v>692779.96190038533</v>
      </c>
      <c r="H39" s="145">
        <f t="shared" si="10"/>
        <v>692779.96190038533</v>
      </c>
      <c r="I39" s="158">
        <f t="shared" si="1"/>
        <v>0</v>
      </c>
      <c r="J39" s="158"/>
      <c r="K39" s="316"/>
      <c r="L39" s="160">
        <f t="shared" si="2"/>
        <v>0</v>
      </c>
      <c r="M39" s="316"/>
      <c r="N39" s="160">
        <f t="shared" si="3"/>
        <v>0</v>
      </c>
      <c r="O39" s="160">
        <f t="shared" si="4"/>
        <v>0</v>
      </c>
      <c r="P39" s="4"/>
    </row>
    <row r="40" spans="2:16">
      <c r="B40" t="str">
        <f t="shared" si="0"/>
        <v/>
      </c>
      <c r="C40" s="155">
        <f>IF(D11="","-",+C39+1)</f>
        <v>2039</v>
      </c>
      <c r="D40" s="164">
        <f>IF(F39+SUM(E$17:E39)=D$10,F39,D$10-SUM(E$17:E39))</f>
        <v>3997766.6393317352</v>
      </c>
      <c r="E40" s="162">
        <f t="shared" si="7"/>
        <v>210700.54229669485</v>
      </c>
      <c r="F40" s="161">
        <f t="shared" si="8"/>
        <v>3787066.0970350401</v>
      </c>
      <c r="G40" s="163">
        <f t="shared" si="9"/>
        <v>668024.53880212188</v>
      </c>
      <c r="H40" s="145">
        <f t="shared" si="10"/>
        <v>668024.53880212188</v>
      </c>
      <c r="I40" s="158">
        <f t="shared" si="1"/>
        <v>0</v>
      </c>
      <c r="J40" s="158"/>
      <c r="K40" s="316"/>
      <c r="L40" s="160">
        <f t="shared" si="2"/>
        <v>0</v>
      </c>
      <c r="M40" s="316"/>
      <c r="N40" s="160">
        <f t="shared" si="3"/>
        <v>0</v>
      </c>
      <c r="O40" s="160">
        <f t="shared" si="4"/>
        <v>0</v>
      </c>
      <c r="P40" s="4"/>
    </row>
    <row r="41" spans="2:16">
      <c r="B41" t="str">
        <f t="shared" si="0"/>
        <v/>
      </c>
      <c r="C41" s="155">
        <f>IF(D11="","-",+C40+1)</f>
        <v>2040</v>
      </c>
      <c r="D41" s="164">
        <f>IF(F40+SUM(E$17:E40)=D$10,F40,D$10-SUM(E$17:E40))</f>
        <v>3787066.0970350401</v>
      </c>
      <c r="E41" s="162">
        <f t="shared" si="7"/>
        <v>210700.54229669485</v>
      </c>
      <c r="F41" s="161">
        <f t="shared" si="8"/>
        <v>3576365.5547383451</v>
      </c>
      <c r="G41" s="163">
        <f t="shared" si="9"/>
        <v>643269.11570385867</v>
      </c>
      <c r="H41" s="145">
        <f t="shared" si="10"/>
        <v>643269.11570385867</v>
      </c>
      <c r="I41" s="158">
        <f t="shared" si="1"/>
        <v>0</v>
      </c>
      <c r="J41" s="158"/>
      <c r="K41" s="316"/>
      <c r="L41" s="160">
        <f t="shared" si="2"/>
        <v>0</v>
      </c>
      <c r="M41" s="316"/>
      <c r="N41" s="160">
        <f t="shared" si="3"/>
        <v>0</v>
      </c>
      <c r="O41" s="160">
        <f t="shared" si="4"/>
        <v>0</v>
      </c>
      <c r="P41" s="4"/>
    </row>
    <row r="42" spans="2:16">
      <c r="B42" t="str">
        <f t="shared" si="0"/>
        <v/>
      </c>
      <c r="C42" s="155">
        <f>IF(D11="","-",+C41+1)</f>
        <v>2041</v>
      </c>
      <c r="D42" s="164">
        <f>IF(F41+SUM(E$17:E41)=D$10,F41,D$10-SUM(E$17:E41))</f>
        <v>3576365.5547383451</v>
      </c>
      <c r="E42" s="162">
        <f t="shared" si="7"/>
        <v>210700.54229669485</v>
      </c>
      <c r="F42" s="161">
        <f t="shared" si="8"/>
        <v>3365665.01244165</v>
      </c>
      <c r="G42" s="163">
        <f t="shared" si="9"/>
        <v>618513.69260559522</v>
      </c>
      <c r="H42" s="145">
        <f t="shared" si="10"/>
        <v>618513.69260559522</v>
      </c>
      <c r="I42" s="158">
        <f t="shared" si="1"/>
        <v>0</v>
      </c>
      <c r="J42" s="158"/>
      <c r="K42" s="316"/>
      <c r="L42" s="160">
        <f t="shared" si="2"/>
        <v>0</v>
      </c>
      <c r="M42" s="316"/>
      <c r="N42" s="160">
        <f t="shared" si="3"/>
        <v>0</v>
      </c>
      <c r="O42" s="160">
        <f t="shared" si="4"/>
        <v>0</v>
      </c>
      <c r="P42" s="4"/>
    </row>
    <row r="43" spans="2:16">
      <c r="B43" t="str">
        <f t="shared" si="0"/>
        <v/>
      </c>
      <c r="C43" s="155">
        <f>IF(D11="","-",+C42+1)</f>
        <v>2042</v>
      </c>
      <c r="D43" s="164">
        <f>IF(F42+SUM(E$17:E42)=D$10,F42,D$10-SUM(E$17:E42))</f>
        <v>3365665.01244165</v>
      </c>
      <c r="E43" s="162">
        <f t="shared" si="7"/>
        <v>210700.54229669485</v>
      </c>
      <c r="F43" s="161">
        <f t="shared" si="8"/>
        <v>3154964.470144955</v>
      </c>
      <c r="G43" s="163">
        <f t="shared" si="9"/>
        <v>593758.26950733189</v>
      </c>
      <c r="H43" s="145">
        <f t="shared" si="10"/>
        <v>593758.26950733189</v>
      </c>
      <c r="I43" s="158">
        <f t="shared" si="1"/>
        <v>0</v>
      </c>
      <c r="J43" s="158"/>
      <c r="K43" s="316"/>
      <c r="L43" s="160">
        <f t="shared" si="2"/>
        <v>0</v>
      </c>
      <c r="M43" s="316"/>
      <c r="N43" s="160">
        <f t="shared" si="3"/>
        <v>0</v>
      </c>
      <c r="O43" s="160">
        <f t="shared" si="4"/>
        <v>0</v>
      </c>
      <c r="P43" s="4"/>
    </row>
    <row r="44" spans="2:16">
      <c r="B44" t="str">
        <f t="shared" si="0"/>
        <v/>
      </c>
      <c r="C44" s="155">
        <f>IF(D11="","-",+C43+1)</f>
        <v>2043</v>
      </c>
      <c r="D44" s="164">
        <f>IF(F43+SUM(E$17:E43)=D$10,F43,D$10-SUM(E$17:E43))</f>
        <v>3154964.470144955</v>
      </c>
      <c r="E44" s="162">
        <f t="shared" si="7"/>
        <v>210700.54229669485</v>
      </c>
      <c r="F44" s="161">
        <f t="shared" si="8"/>
        <v>2944263.9278482599</v>
      </c>
      <c r="G44" s="163">
        <f t="shared" si="9"/>
        <v>569002.84640906856</v>
      </c>
      <c r="H44" s="145">
        <f t="shared" si="10"/>
        <v>569002.84640906856</v>
      </c>
      <c r="I44" s="158">
        <f t="shared" si="1"/>
        <v>0</v>
      </c>
      <c r="J44" s="158"/>
      <c r="K44" s="316"/>
      <c r="L44" s="160">
        <f t="shared" si="2"/>
        <v>0</v>
      </c>
      <c r="M44" s="316"/>
      <c r="N44" s="160">
        <f t="shared" si="3"/>
        <v>0</v>
      </c>
      <c r="O44" s="160">
        <f t="shared" si="4"/>
        <v>0</v>
      </c>
      <c r="P44" s="4"/>
    </row>
    <row r="45" spans="2:16">
      <c r="B45" t="str">
        <f t="shared" si="0"/>
        <v/>
      </c>
      <c r="C45" s="155">
        <f>IF(D11="","-",+C44+1)</f>
        <v>2044</v>
      </c>
      <c r="D45" s="164">
        <f>IF(F44+SUM(E$17:E44)=D$10,F44,D$10-SUM(E$17:E44))</f>
        <v>2944263.9278482599</v>
      </c>
      <c r="E45" s="162">
        <f t="shared" si="7"/>
        <v>210700.54229669485</v>
      </c>
      <c r="F45" s="161">
        <f t="shared" si="8"/>
        <v>2733563.3855515649</v>
      </c>
      <c r="G45" s="163">
        <f t="shared" si="9"/>
        <v>544247.42331080523</v>
      </c>
      <c r="H45" s="145">
        <f t="shared" si="10"/>
        <v>544247.42331080523</v>
      </c>
      <c r="I45" s="158">
        <f t="shared" si="1"/>
        <v>0</v>
      </c>
      <c r="J45" s="158"/>
      <c r="K45" s="316"/>
      <c r="L45" s="160">
        <f t="shared" si="2"/>
        <v>0</v>
      </c>
      <c r="M45" s="316"/>
      <c r="N45" s="160">
        <f t="shared" si="3"/>
        <v>0</v>
      </c>
      <c r="O45" s="160">
        <f t="shared" si="4"/>
        <v>0</v>
      </c>
      <c r="P45" s="4"/>
    </row>
    <row r="46" spans="2:16">
      <c r="B46" t="str">
        <f t="shared" si="0"/>
        <v/>
      </c>
      <c r="C46" s="155">
        <f>IF(D11="","-",+C45+1)</f>
        <v>2045</v>
      </c>
      <c r="D46" s="164">
        <f>IF(F45+SUM(E$17:E45)=D$10,F45,D$10-SUM(E$17:E45))</f>
        <v>2733563.3855515649</v>
      </c>
      <c r="E46" s="162">
        <f t="shared" si="7"/>
        <v>210700.54229669485</v>
      </c>
      <c r="F46" s="161">
        <f t="shared" si="8"/>
        <v>2522862.8432548698</v>
      </c>
      <c r="G46" s="163">
        <f t="shared" si="9"/>
        <v>519492.0002125419</v>
      </c>
      <c r="H46" s="145">
        <f t="shared" si="10"/>
        <v>519492.0002125419</v>
      </c>
      <c r="I46" s="158">
        <f t="shared" si="1"/>
        <v>0</v>
      </c>
      <c r="J46" s="158"/>
      <c r="K46" s="316"/>
      <c r="L46" s="160">
        <f t="shared" si="2"/>
        <v>0</v>
      </c>
      <c r="M46" s="316"/>
      <c r="N46" s="160">
        <f t="shared" si="3"/>
        <v>0</v>
      </c>
      <c r="O46" s="160">
        <f t="shared" si="4"/>
        <v>0</v>
      </c>
      <c r="P46" s="4"/>
    </row>
    <row r="47" spans="2:16">
      <c r="B47" t="str">
        <f t="shared" si="0"/>
        <v/>
      </c>
      <c r="C47" s="155">
        <f>IF(D11="","-",+C46+1)</f>
        <v>2046</v>
      </c>
      <c r="D47" s="164">
        <f>IF(F46+SUM(E$17:E46)=D$10,F46,D$10-SUM(E$17:E46))</f>
        <v>2522862.8432548698</v>
      </c>
      <c r="E47" s="162">
        <f t="shared" si="7"/>
        <v>210700.54229669485</v>
      </c>
      <c r="F47" s="161">
        <f t="shared" si="8"/>
        <v>2312162.3009581747</v>
      </c>
      <c r="G47" s="163">
        <f t="shared" si="9"/>
        <v>494736.57711427857</v>
      </c>
      <c r="H47" s="145">
        <f t="shared" si="10"/>
        <v>494736.57711427857</v>
      </c>
      <c r="I47" s="158">
        <f t="shared" si="1"/>
        <v>0</v>
      </c>
      <c r="J47" s="158"/>
      <c r="K47" s="316"/>
      <c r="L47" s="160">
        <f t="shared" si="2"/>
        <v>0</v>
      </c>
      <c r="M47" s="316"/>
      <c r="N47" s="160">
        <f t="shared" si="3"/>
        <v>0</v>
      </c>
      <c r="O47" s="160">
        <f t="shared" si="4"/>
        <v>0</v>
      </c>
      <c r="P47" s="4"/>
    </row>
    <row r="48" spans="2:16">
      <c r="B48" t="str">
        <f t="shared" si="0"/>
        <v/>
      </c>
      <c r="C48" s="155">
        <f>IF(D11="","-",+C47+1)</f>
        <v>2047</v>
      </c>
      <c r="D48" s="164">
        <f>IF(F47+SUM(E$17:E47)=D$10,F47,D$10-SUM(E$17:E47))</f>
        <v>2312162.3009581747</v>
      </c>
      <c r="E48" s="162">
        <f t="shared" si="7"/>
        <v>210700.54229669485</v>
      </c>
      <c r="F48" s="161">
        <f t="shared" si="8"/>
        <v>2101461.7586614797</v>
      </c>
      <c r="G48" s="163">
        <f t="shared" si="9"/>
        <v>469981.15401601512</v>
      </c>
      <c r="H48" s="145">
        <f t="shared" si="10"/>
        <v>469981.15401601512</v>
      </c>
      <c r="I48" s="158">
        <f t="shared" si="1"/>
        <v>0</v>
      </c>
      <c r="J48" s="158"/>
      <c r="K48" s="316"/>
      <c r="L48" s="160">
        <f t="shared" si="2"/>
        <v>0</v>
      </c>
      <c r="M48" s="316"/>
      <c r="N48" s="160">
        <f t="shared" si="3"/>
        <v>0</v>
      </c>
      <c r="O48" s="160">
        <f t="shared" si="4"/>
        <v>0</v>
      </c>
      <c r="P48" s="4"/>
    </row>
    <row r="49" spans="2:16">
      <c r="B49" t="str">
        <f t="shared" si="0"/>
        <v/>
      </c>
      <c r="C49" s="155">
        <f>IF(D11="","-",+C48+1)</f>
        <v>2048</v>
      </c>
      <c r="D49" s="164">
        <f>IF(F48+SUM(E$17:E48)=D$10,F48,D$10-SUM(E$17:E48))</f>
        <v>2101461.7586614797</v>
      </c>
      <c r="E49" s="162">
        <f t="shared" si="7"/>
        <v>210700.54229669485</v>
      </c>
      <c r="F49" s="161">
        <f t="shared" si="8"/>
        <v>1890761.2163647849</v>
      </c>
      <c r="G49" s="163">
        <f t="shared" si="9"/>
        <v>445225.73091775185</v>
      </c>
      <c r="H49" s="145">
        <f t="shared" si="10"/>
        <v>445225.73091775185</v>
      </c>
      <c r="I49" s="158">
        <f t="shared" si="1"/>
        <v>0</v>
      </c>
      <c r="J49" s="158"/>
      <c r="K49" s="316"/>
      <c r="L49" s="160">
        <f t="shared" si="2"/>
        <v>0</v>
      </c>
      <c r="M49" s="316"/>
      <c r="N49" s="160">
        <f t="shared" si="3"/>
        <v>0</v>
      </c>
      <c r="O49" s="160">
        <f t="shared" si="4"/>
        <v>0</v>
      </c>
      <c r="P49" s="4"/>
    </row>
    <row r="50" spans="2:16">
      <c r="B50" t="str">
        <f t="shared" si="0"/>
        <v/>
      </c>
      <c r="C50" s="155">
        <f>IF(D11="","-",+C49+1)</f>
        <v>2049</v>
      </c>
      <c r="D50" s="164">
        <f>IF(F49+SUM(E$17:E49)=D$10,F49,D$10-SUM(E$17:E49))</f>
        <v>1890761.2163647849</v>
      </c>
      <c r="E50" s="162">
        <f t="shared" si="7"/>
        <v>210700.54229669485</v>
      </c>
      <c r="F50" s="161">
        <f t="shared" si="8"/>
        <v>1680060.67406809</v>
      </c>
      <c r="G50" s="163">
        <f t="shared" si="9"/>
        <v>420470.30781948852</v>
      </c>
      <c r="H50" s="145">
        <f t="shared" si="10"/>
        <v>420470.30781948852</v>
      </c>
      <c r="I50" s="158">
        <f t="shared" si="1"/>
        <v>0</v>
      </c>
      <c r="J50" s="158"/>
      <c r="K50" s="316"/>
      <c r="L50" s="160">
        <f t="shared" si="2"/>
        <v>0</v>
      </c>
      <c r="M50" s="316"/>
      <c r="N50" s="160">
        <f t="shared" si="3"/>
        <v>0</v>
      </c>
      <c r="O50" s="160">
        <f t="shared" si="4"/>
        <v>0</v>
      </c>
      <c r="P50" s="4"/>
    </row>
    <row r="51" spans="2:16">
      <c r="B51" t="str">
        <f t="shared" si="0"/>
        <v/>
      </c>
      <c r="C51" s="155">
        <f>IF(D11="","-",+C50+1)</f>
        <v>2050</v>
      </c>
      <c r="D51" s="164">
        <f>IF(F50+SUM(E$17:E50)=D$10,F50,D$10-SUM(E$17:E50))</f>
        <v>1680060.67406809</v>
      </c>
      <c r="E51" s="162">
        <f t="shared" si="7"/>
        <v>210700.54229669485</v>
      </c>
      <c r="F51" s="161">
        <f t="shared" si="8"/>
        <v>1469360.1317713952</v>
      </c>
      <c r="G51" s="163">
        <f t="shared" si="9"/>
        <v>395714.88472122524</v>
      </c>
      <c r="H51" s="145">
        <f t="shared" si="10"/>
        <v>395714.88472122524</v>
      </c>
      <c r="I51" s="158">
        <f t="shared" si="1"/>
        <v>0</v>
      </c>
      <c r="J51" s="158"/>
      <c r="K51" s="316"/>
      <c r="L51" s="160">
        <f t="shared" si="2"/>
        <v>0</v>
      </c>
      <c r="M51" s="316"/>
      <c r="N51" s="160">
        <f t="shared" si="3"/>
        <v>0</v>
      </c>
      <c r="O51" s="160">
        <f t="shared" si="4"/>
        <v>0</v>
      </c>
      <c r="P51" s="4"/>
    </row>
    <row r="52" spans="2:16">
      <c r="B52" t="str">
        <f t="shared" si="0"/>
        <v/>
      </c>
      <c r="C52" s="155">
        <f>IF(D11="","-",+C51+1)</f>
        <v>2051</v>
      </c>
      <c r="D52" s="164">
        <f>IF(F51+SUM(E$17:E51)=D$10,F51,D$10-SUM(E$17:E51))</f>
        <v>1469360.1317713952</v>
      </c>
      <c r="E52" s="162">
        <f t="shared" si="7"/>
        <v>210700.54229669485</v>
      </c>
      <c r="F52" s="161">
        <f t="shared" si="8"/>
        <v>1258659.5894747004</v>
      </c>
      <c r="G52" s="163">
        <f t="shared" si="9"/>
        <v>370959.46162296186</v>
      </c>
      <c r="H52" s="145">
        <f t="shared" si="10"/>
        <v>370959.46162296186</v>
      </c>
      <c r="I52" s="158">
        <f t="shared" si="1"/>
        <v>0</v>
      </c>
      <c r="J52" s="158"/>
      <c r="K52" s="316"/>
      <c r="L52" s="160">
        <f t="shared" si="2"/>
        <v>0</v>
      </c>
      <c r="M52" s="316"/>
      <c r="N52" s="160">
        <f t="shared" si="3"/>
        <v>0</v>
      </c>
      <c r="O52" s="160">
        <f t="shared" si="4"/>
        <v>0</v>
      </c>
      <c r="P52" s="4"/>
    </row>
    <row r="53" spans="2:16">
      <c r="B53" t="str">
        <f t="shared" si="0"/>
        <v/>
      </c>
      <c r="C53" s="155">
        <f>IF(D11="","-",+C52+1)</f>
        <v>2052</v>
      </c>
      <c r="D53" s="164">
        <f>IF(F52+SUM(E$17:E52)=D$10,F52,D$10-SUM(E$17:E52))</f>
        <v>1258659.5894747004</v>
      </c>
      <c r="E53" s="162">
        <f t="shared" si="7"/>
        <v>210700.54229669485</v>
      </c>
      <c r="F53" s="161">
        <f t="shared" si="8"/>
        <v>1047959.0471780056</v>
      </c>
      <c r="G53" s="163">
        <f t="shared" si="9"/>
        <v>346204.03852469858</v>
      </c>
      <c r="H53" s="145">
        <f t="shared" si="10"/>
        <v>346204.03852469858</v>
      </c>
      <c r="I53" s="158">
        <f t="shared" si="1"/>
        <v>0</v>
      </c>
      <c r="J53" s="158"/>
      <c r="K53" s="316"/>
      <c r="L53" s="160">
        <f t="shared" si="2"/>
        <v>0</v>
      </c>
      <c r="M53" s="316"/>
      <c r="N53" s="160">
        <f t="shared" si="3"/>
        <v>0</v>
      </c>
      <c r="O53" s="160">
        <f t="shared" si="4"/>
        <v>0</v>
      </c>
      <c r="P53" s="4"/>
    </row>
    <row r="54" spans="2:16">
      <c r="B54" t="str">
        <f t="shared" si="0"/>
        <v/>
      </c>
      <c r="C54" s="155">
        <f>IF(D11="","-",+C53+1)</f>
        <v>2053</v>
      </c>
      <c r="D54" s="164">
        <f>IF(F53+SUM(E$17:E53)=D$10,F53,D$10-SUM(E$17:E53))</f>
        <v>1047959.0471780056</v>
      </c>
      <c r="E54" s="162">
        <f t="shared" si="7"/>
        <v>210700.54229669485</v>
      </c>
      <c r="F54" s="161">
        <f t="shared" si="8"/>
        <v>837258.50488131074</v>
      </c>
      <c r="G54" s="163">
        <f t="shared" si="9"/>
        <v>321448.61542643525</v>
      </c>
      <c r="H54" s="145">
        <f t="shared" si="10"/>
        <v>321448.61542643525</v>
      </c>
      <c r="I54" s="158">
        <f t="shared" si="1"/>
        <v>0</v>
      </c>
      <c r="J54" s="158"/>
      <c r="K54" s="316"/>
      <c r="L54" s="160">
        <f t="shared" si="2"/>
        <v>0</v>
      </c>
      <c r="M54" s="316"/>
      <c r="N54" s="160">
        <f t="shared" si="3"/>
        <v>0</v>
      </c>
      <c r="O54" s="160">
        <f t="shared" si="4"/>
        <v>0</v>
      </c>
      <c r="P54" s="4"/>
    </row>
    <row r="55" spans="2:16">
      <c r="B55" t="str">
        <f t="shared" si="0"/>
        <v/>
      </c>
      <c r="C55" s="155">
        <f>IF(D11="","-",+C54+1)</f>
        <v>2054</v>
      </c>
      <c r="D55" s="164">
        <f>IF(F54+SUM(E$17:E54)=D$10,F54,D$10-SUM(E$17:E54))</f>
        <v>837258.50488131074</v>
      </c>
      <c r="E55" s="162">
        <f t="shared" si="7"/>
        <v>210700.54229669485</v>
      </c>
      <c r="F55" s="161">
        <f t="shared" si="8"/>
        <v>626557.96258461592</v>
      </c>
      <c r="G55" s="163">
        <f t="shared" si="9"/>
        <v>296693.19232817192</v>
      </c>
      <c r="H55" s="145">
        <f t="shared" si="10"/>
        <v>296693.19232817192</v>
      </c>
      <c r="I55" s="158">
        <f t="shared" si="1"/>
        <v>0</v>
      </c>
      <c r="J55" s="158"/>
      <c r="K55" s="316"/>
      <c r="L55" s="160">
        <f t="shared" si="2"/>
        <v>0</v>
      </c>
      <c r="M55" s="316"/>
      <c r="N55" s="160">
        <f t="shared" si="3"/>
        <v>0</v>
      </c>
      <c r="O55" s="160">
        <f t="shared" si="4"/>
        <v>0</v>
      </c>
      <c r="P55" s="4"/>
    </row>
    <row r="56" spans="2:16">
      <c r="B56" t="str">
        <f t="shared" si="0"/>
        <v/>
      </c>
      <c r="C56" s="155">
        <f>IF(D11="","-",+C55+1)</f>
        <v>2055</v>
      </c>
      <c r="D56" s="164">
        <f>IF(F55+SUM(E$17:E55)=D$10,F55,D$10-SUM(E$17:E55))</f>
        <v>626557.96258461592</v>
      </c>
      <c r="E56" s="162">
        <f t="shared" si="7"/>
        <v>210700.54229669485</v>
      </c>
      <c r="F56" s="161">
        <f t="shared" si="8"/>
        <v>415857.42028792109</v>
      </c>
      <c r="G56" s="163">
        <f t="shared" si="9"/>
        <v>271937.76922990859</v>
      </c>
      <c r="H56" s="145">
        <f t="shared" si="10"/>
        <v>271937.76922990859</v>
      </c>
      <c r="I56" s="158">
        <f t="shared" si="1"/>
        <v>0</v>
      </c>
      <c r="J56" s="158"/>
      <c r="K56" s="316"/>
      <c r="L56" s="160">
        <f t="shared" si="2"/>
        <v>0</v>
      </c>
      <c r="M56" s="316"/>
      <c r="N56" s="160">
        <f t="shared" si="3"/>
        <v>0</v>
      </c>
      <c r="O56" s="160">
        <f t="shared" si="4"/>
        <v>0</v>
      </c>
      <c r="P56" s="4"/>
    </row>
    <row r="57" spans="2:16">
      <c r="B57" t="str">
        <f t="shared" si="0"/>
        <v/>
      </c>
      <c r="C57" s="155">
        <f>IF(D11="","-",+C56+1)</f>
        <v>2056</v>
      </c>
      <c r="D57" s="164">
        <f>IF(F56+SUM(E$17:E56)=D$10,F56,D$10-SUM(E$17:E56))</f>
        <v>415857.42028792109</v>
      </c>
      <c r="E57" s="162">
        <f t="shared" si="7"/>
        <v>210700.54229669485</v>
      </c>
      <c r="F57" s="161">
        <f t="shared" si="8"/>
        <v>205156.87799122624</v>
      </c>
      <c r="G57" s="163">
        <f t="shared" si="9"/>
        <v>247182.34613164529</v>
      </c>
      <c r="H57" s="145">
        <f t="shared" si="10"/>
        <v>247182.34613164529</v>
      </c>
      <c r="I57" s="158">
        <f t="shared" si="1"/>
        <v>0</v>
      </c>
      <c r="J57" s="158"/>
      <c r="K57" s="316"/>
      <c r="L57" s="160">
        <f t="shared" si="2"/>
        <v>0</v>
      </c>
      <c r="M57" s="316"/>
      <c r="N57" s="160">
        <f t="shared" si="3"/>
        <v>0</v>
      </c>
      <c r="O57" s="160">
        <f t="shared" si="4"/>
        <v>0</v>
      </c>
      <c r="P57" s="4"/>
    </row>
    <row r="58" spans="2:16">
      <c r="B58" t="str">
        <f t="shared" si="0"/>
        <v>IU</v>
      </c>
      <c r="C58" s="155">
        <f>IF(D11="","-",+C57+1)</f>
        <v>2057</v>
      </c>
      <c r="D58" s="164">
        <f>IF(F57+SUM(E$17:E57)=D$10,F57,D$10-SUM(E$17:E57))</f>
        <v>205156.87799123116</v>
      </c>
      <c r="E58" s="162">
        <f t="shared" si="7"/>
        <v>205156.87799123116</v>
      </c>
      <c r="F58" s="161">
        <f t="shared" si="8"/>
        <v>0</v>
      </c>
      <c r="G58" s="163">
        <f t="shared" si="9"/>
        <v>217208.92413414083</v>
      </c>
      <c r="H58" s="145">
        <f t="shared" si="10"/>
        <v>217208.92413414083</v>
      </c>
      <c r="I58" s="158">
        <f t="shared" si="1"/>
        <v>0</v>
      </c>
      <c r="J58" s="158"/>
      <c r="K58" s="316"/>
      <c r="L58" s="160">
        <f t="shared" si="2"/>
        <v>0</v>
      </c>
      <c r="M58" s="316"/>
      <c r="N58" s="160">
        <f t="shared" si="3"/>
        <v>0</v>
      </c>
      <c r="O58" s="160">
        <f t="shared" si="4"/>
        <v>0</v>
      </c>
      <c r="P58" s="4"/>
    </row>
    <row r="59" spans="2:16">
      <c r="B59" t="str">
        <f t="shared" si="0"/>
        <v/>
      </c>
      <c r="C59" s="155">
        <f>IF(D11="","-",+C58+1)</f>
        <v>2058</v>
      </c>
      <c r="D59" s="164">
        <f>IF(F58+SUM(E$17:E58)=D$10,F58,D$10-SUM(E$17:E58))</f>
        <v>0</v>
      </c>
      <c r="E59" s="162">
        <f t="shared" si="7"/>
        <v>0</v>
      </c>
      <c r="F59" s="161">
        <f t="shared" si="8"/>
        <v>0</v>
      </c>
      <c r="G59" s="163">
        <f t="shared" si="9"/>
        <v>0</v>
      </c>
      <c r="H59" s="145">
        <f t="shared" si="10"/>
        <v>0</v>
      </c>
      <c r="I59" s="158">
        <f t="shared" si="1"/>
        <v>0</v>
      </c>
      <c r="J59" s="158"/>
      <c r="K59" s="316"/>
      <c r="L59" s="160">
        <f t="shared" si="2"/>
        <v>0</v>
      </c>
      <c r="M59" s="316"/>
      <c r="N59" s="160">
        <f t="shared" si="3"/>
        <v>0</v>
      </c>
      <c r="O59" s="160">
        <f t="shared" si="4"/>
        <v>0</v>
      </c>
      <c r="P59" s="4"/>
    </row>
    <row r="60" spans="2:16">
      <c r="B60" t="str">
        <f t="shared" si="0"/>
        <v/>
      </c>
      <c r="C60" s="155">
        <f>IF(D11="","-",+C59+1)</f>
        <v>2059</v>
      </c>
      <c r="D60" s="164">
        <f>IF(F59+SUM(E$17:E59)=D$10,F59,D$10-SUM(E$17:E59))</f>
        <v>0</v>
      </c>
      <c r="E60" s="162">
        <f t="shared" si="7"/>
        <v>0</v>
      </c>
      <c r="F60" s="161">
        <f t="shared" si="8"/>
        <v>0</v>
      </c>
      <c r="G60" s="163">
        <f t="shared" si="9"/>
        <v>0</v>
      </c>
      <c r="H60" s="145">
        <f t="shared" si="10"/>
        <v>0</v>
      </c>
      <c r="I60" s="158">
        <f t="shared" si="1"/>
        <v>0</v>
      </c>
      <c r="J60" s="158"/>
      <c r="K60" s="316"/>
      <c r="L60" s="160">
        <f t="shared" si="2"/>
        <v>0</v>
      </c>
      <c r="M60" s="316"/>
      <c r="N60" s="160">
        <f t="shared" si="3"/>
        <v>0</v>
      </c>
      <c r="O60" s="160">
        <f t="shared" si="4"/>
        <v>0</v>
      </c>
      <c r="P60" s="4"/>
    </row>
    <row r="61" spans="2:16">
      <c r="B61" t="str">
        <f t="shared" si="0"/>
        <v/>
      </c>
      <c r="C61" s="155">
        <f>IF(D11="","-",+C60+1)</f>
        <v>2060</v>
      </c>
      <c r="D61" s="164">
        <f>IF(F60+SUM(E$17:E60)=D$10,F60,D$10-SUM(E$17:E60))</f>
        <v>0</v>
      </c>
      <c r="E61" s="162">
        <f t="shared" si="7"/>
        <v>0</v>
      </c>
      <c r="F61" s="161">
        <f t="shared" si="8"/>
        <v>0</v>
      </c>
      <c r="G61" s="165">
        <f t="shared" si="9"/>
        <v>0</v>
      </c>
      <c r="H61" s="145">
        <f t="shared" si="10"/>
        <v>0</v>
      </c>
      <c r="I61" s="158">
        <f t="shared" si="1"/>
        <v>0</v>
      </c>
      <c r="J61" s="158"/>
      <c r="K61" s="316"/>
      <c r="L61" s="160">
        <f t="shared" si="2"/>
        <v>0</v>
      </c>
      <c r="M61" s="316"/>
      <c r="N61" s="160">
        <f t="shared" si="3"/>
        <v>0</v>
      </c>
      <c r="O61" s="160">
        <f t="shared" si="4"/>
        <v>0</v>
      </c>
      <c r="P61" s="4"/>
    </row>
    <row r="62" spans="2:16">
      <c r="B62" t="str">
        <f t="shared" si="0"/>
        <v/>
      </c>
      <c r="C62" s="155">
        <f>IF(D11="","-",+C61+1)</f>
        <v>2061</v>
      </c>
      <c r="D62" s="164">
        <f>IF(F61+SUM(E$17:E61)=D$10,F61,D$10-SUM(E$17:E61))</f>
        <v>0</v>
      </c>
      <c r="E62" s="162">
        <f t="shared" si="7"/>
        <v>0</v>
      </c>
      <c r="F62" s="161">
        <f t="shared" si="8"/>
        <v>0</v>
      </c>
      <c r="G62" s="165">
        <f t="shared" si="9"/>
        <v>0</v>
      </c>
      <c r="H62" s="145">
        <f t="shared" si="10"/>
        <v>0</v>
      </c>
      <c r="I62" s="158">
        <f t="shared" si="1"/>
        <v>0</v>
      </c>
      <c r="J62" s="158"/>
      <c r="K62" s="316"/>
      <c r="L62" s="160">
        <f t="shared" si="2"/>
        <v>0</v>
      </c>
      <c r="M62" s="316"/>
      <c r="N62" s="160">
        <f t="shared" si="3"/>
        <v>0</v>
      </c>
      <c r="O62" s="160">
        <f t="shared" si="4"/>
        <v>0</v>
      </c>
      <c r="P62" s="4"/>
    </row>
    <row r="63" spans="2:16">
      <c r="B63" t="str">
        <f t="shared" si="0"/>
        <v/>
      </c>
      <c r="C63" s="155">
        <f>IF(D11="","-",+C62+1)</f>
        <v>2062</v>
      </c>
      <c r="D63" s="164">
        <f>IF(F62+SUM(E$17:E62)=D$10,F62,D$10-SUM(E$17:E62))</f>
        <v>0</v>
      </c>
      <c r="E63" s="162">
        <f t="shared" si="7"/>
        <v>0</v>
      </c>
      <c r="F63" s="161">
        <f t="shared" si="8"/>
        <v>0</v>
      </c>
      <c r="G63" s="165">
        <f t="shared" si="9"/>
        <v>0</v>
      </c>
      <c r="H63" s="145">
        <f t="shared" si="10"/>
        <v>0</v>
      </c>
      <c r="I63" s="158">
        <f t="shared" si="1"/>
        <v>0</v>
      </c>
      <c r="J63" s="158"/>
      <c r="K63" s="316"/>
      <c r="L63" s="160">
        <f t="shared" si="2"/>
        <v>0</v>
      </c>
      <c r="M63" s="316"/>
      <c r="N63" s="160">
        <f t="shared" si="3"/>
        <v>0</v>
      </c>
      <c r="O63" s="160">
        <f t="shared" si="4"/>
        <v>0</v>
      </c>
      <c r="P63" s="4"/>
    </row>
    <row r="64" spans="2:16">
      <c r="B64" t="str">
        <f t="shared" si="0"/>
        <v/>
      </c>
      <c r="C64" s="155">
        <f>IF(D11="","-",+C63+1)</f>
        <v>2063</v>
      </c>
      <c r="D64" s="164">
        <f>IF(F63+SUM(E$17:E63)=D$10,F63,D$10-SUM(E$17:E63))</f>
        <v>0</v>
      </c>
      <c r="E64" s="162">
        <f t="shared" si="7"/>
        <v>0</v>
      </c>
      <c r="F64" s="161">
        <f t="shared" si="8"/>
        <v>0</v>
      </c>
      <c r="G64" s="165">
        <f t="shared" si="9"/>
        <v>0</v>
      </c>
      <c r="H64" s="145">
        <f t="shared" si="10"/>
        <v>0</v>
      </c>
      <c r="I64" s="158">
        <f t="shared" si="1"/>
        <v>0</v>
      </c>
      <c r="J64" s="158"/>
      <c r="K64" s="316"/>
      <c r="L64" s="160">
        <f t="shared" si="2"/>
        <v>0</v>
      </c>
      <c r="M64" s="316"/>
      <c r="N64" s="160">
        <f t="shared" si="3"/>
        <v>0</v>
      </c>
      <c r="O64" s="160">
        <f t="shared" si="4"/>
        <v>0</v>
      </c>
      <c r="P64" s="4"/>
    </row>
    <row r="65" spans="2:16">
      <c r="B65" t="str">
        <f t="shared" si="0"/>
        <v/>
      </c>
      <c r="C65" s="155">
        <f>IF(D11="","-",+C64+1)</f>
        <v>2064</v>
      </c>
      <c r="D65" s="164">
        <f>IF(F64+SUM(E$17:E64)=D$10,F64,D$10-SUM(E$17:E64))</f>
        <v>0</v>
      </c>
      <c r="E65" s="162">
        <f t="shared" si="7"/>
        <v>0</v>
      </c>
      <c r="F65" s="161">
        <f t="shared" si="8"/>
        <v>0</v>
      </c>
      <c r="G65" s="165">
        <f t="shared" si="9"/>
        <v>0</v>
      </c>
      <c r="H65" s="145">
        <f t="shared" si="10"/>
        <v>0</v>
      </c>
      <c r="I65" s="158">
        <f t="shared" si="1"/>
        <v>0</v>
      </c>
      <c r="J65" s="158"/>
      <c r="K65" s="316"/>
      <c r="L65" s="160">
        <f t="shared" si="2"/>
        <v>0</v>
      </c>
      <c r="M65" s="316"/>
      <c r="N65" s="160">
        <f t="shared" si="3"/>
        <v>0</v>
      </c>
      <c r="O65" s="160">
        <f t="shared" si="4"/>
        <v>0</v>
      </c>
      <c r="P65" s="4"/>
    </row>
    <row r="66" spans="2:16">
      <c r="B66" t="str">
        <f t="shared" si="0"/>
        <v/>
      </c>
      <c r="C66" s="155">
        <f>IF(D11="","-",+C65+1)</f>
        <v>2065</v>
      </c>
      <c r="D66" s="164">
        <f>IF(F65+SUM(E$17:E65)=D$10,F65,D$10-SUM(E$17:E65))</f>
        <v>0</v>
      </c>
      <c r="E66" s="162">
        <f t="shared" si="7"/>
        <v>0</v>
      </c>
      <c r="F66" s="161">
        <f t="shared" si="8"/>
        <v>0</v>
      </c>
      <c r="G66" s="165">
        <f t="shared" si="9"/>
        <v>0</v>
      </c>
      <c r="H66" s="145">
        <f t="shared" si="10"/>
        <v>0</v>
      </c>
      <c r="I66" s="158">
        <f t="shared" si="1"/>
        <v>0</v>
      </c>
      <c r="J66" s="158"/>
      <c r="K66" s="316"/>
      <c r="L66" s="160">
        <f t="shared" si="2"/>
        <v>0</v>
      </c>
      <c r="M66" s="316"/>
      <c r="N66" s="160">
        <f t="shared" si="3"/>
        <v>0</v>
      </c>
      <c r="O66" s="160">
        <f t="shared" si="4"/>
        <v>0</v>
      </c>
      <c r="P66" s="4"/>
    </row>
    <row r="67" spans="2:16">
      <c r="B67" t="str">
        <f t="shared" si="0"/>
        <v/>
      </c>
      <c r="C67" s="155">
        <f>IF(D11="","-",+C66+1)</f>
        <v>2066</v>
      </c>
      <c r="D67" s="164">
        <f>IF(F66+SUM(E$17:E66)=D$10,F66,D$10-SUM(E$17:E66))</f>
        <v>0</v>
      </c>
      <c r="E67" s="162">
        <f t="shared" si="7"/>
        <v>0</v>
      </c>
      <c r="F67" s="161">
        <f t="shared" si="8"/>
        <v>0</v>
      </c>
      <c r="G67" s="165">
        <f t="shared" si="9"/>
        <v>0</v>
      </c>
      <c r="H67" s="145">
        <f t="shared" si="10"/>
        <v>0</v>
      </c>
      <c r="I67" s="158">
        <f t="shared" si="1"/>
        <v>0</v>
      </c>
      <c r="J67" s="158"/>
      <c r="K67" s="316"/>
      <c r="L67" s="160">
        <f t="shared" si="2"/>
        <v>0</v>
      </c>
      <c r="M67" s="316"/>
      <c r="N67" s="160">
        <f t="shared" si="3"/>
        <v>0</v>
      </c>
      <c r="O67" s="160">
        <f t="shared" si="4"/>
        <v>0</v>
      </c>
      <c r="P67" s="4"/>
    </row>
    <row r="68" spans="2:16">
      <c r="B68" t="str">
        <f t="shared" si="0"/>
        <v/>
      </c>
      <c r="C68" s="155">
        <f>IF(D11="","-",+C67+1)</f>
        <v>2067</v>
      </c>
      <c r="D68" s="164">
        <f>IF(F67+SUM(E$17:E67)=D$10,F67,D$10-SUM(E$17:E67))</f>
        <v>0</v>
      </c>
      <c r="E68" s="162">
        <f t="shared" si="7"/>
        <v>0</v>
      </c>
      <c r="F68" s="161">
        <f t="shared" si="8"/>
        <v>0</v>
      </c>
      <c r="G68" s="165">
        <f t="shared" si="9"/>
        <v>0</v>
      </c>
      <c r="H68" s="145">
        <f t="shared" si="10"/>
        <v>0</v>
      </c>
      <c r="I68" s="158">
        <f t="shared" si="1"/>
        <v>0</v>
      </c>
      <c r="J68" s="158"/>
      <c r="K68" s="316"/>
      <c r="L68" s="160">
        <f t="shared" si="2"/>
        <v>0</v>
      </c>
      <c r="M68" s="316"/>
      <c r="N68" s="160">
        <f t="shared" si="3"/>
        <v>0</v>
      </c>
      <c r="O68" s="160">
        <f t="shared" si="4"/>
        <v>0</v>
      </c>
      <c r="P68" s="4"/>
    </row>
    <row r="69" spans="2:16">
      <c r="B69" t="str">
        <f t="shared" si="0"/>
        <v/>
      </c>
      <c r="C69" s="155">
        <f>IF(D11="","-",+C68+1)</f>
        <v>2068</v>
      </c>
      <c r="D69" s="164">
        <f>IF(F68+SUM(E$17:E68)=D$10,F68,D$10-SUM(E$17:E68))</f>
        <v>0</v>
      </c>
      <c r="E69" s="162">
        <f t="shared" si="7"/>
        <v>0</v>
      </c>
      <c r="F69" s="161">
        <f t="shared" si="8"/>
        <v>0</v>
      </c>
      <c r="G69" s="165">
        <f t="shared" si="9"/>
        <v>0</v>
      </c>
      <c r="H69" s="145">
        <f t="shared" si="10"/>
        <v>0</v>
      </c>
      <c r="I69" s="158">
        <f t="shared" si="1"/>
        <v>0</v>
      </c>
      <c r="J69" s="158"/>
      <c r="K69" s="316"/>
      <c r="L69" s="160">
        <f t="shared" si="2"/>
        <v>0</v>
      </c>
      <c r="M69" s="316"/>
      <c r="N69" s="160">
        <f t="shared" si="3"/>
        <v>0</v>
      </c>
      <c r="O69" s="160">
        <f t="shared" si="4"/>
        <v>0</v>
      </c>
      <c r="P69" s="4"/>
    </row>
    <row r="70" spans="2:16">
      <c r="B70" t="str">
        <f t="shared" si="0"/>
        <v/>
      </c>
      <c r="C70" s="155">
        <f>IF(D11="","-",+C69+1)</f>
        <v>2069</v>
      </c>
      <c r="D70" s="164">
        <f>IF(F69+SUM(E$17:E69)=D$10,F69,D$10-SUM(E$17:E69))</f>
        <v>0</v>
      </c>
      <c r="E70" s="162">
        <f t="shared" si="7"/>
        <v>0</v>
      </c>
      <c r="F70" s="161">
        <f t="shared" si="8"/>
        <v>0</v>
      </c>
      <c r="G70" s="165">
        <f t="shared" si="9"/>
        <v>0</v>
      </c>
      <c r="H70" s="145">
        <f t="shared" si="10"/>
        <v>0</v>
      </c>
      <c r="I70" s="158">
        <f t="shared" si="1"/>
        <v>0</v>
      </c>
      <c r="J70" s="158"/>
      <c r="K70" s="316"/>
      <c r="L70" s="160">
        <f t="shared" si="2"/>
        <v>0</v>
      </c>
      <c r="M70" s="316"/>
      <c r="N70" s="160">
        <f t="shared" si="3"/>
        <v>0</v>
      </c>
      <c r="O70" s="160">
        <f t="shared" si="4"/>
        <v>0</v>
      </c>
      <c r="P70" s="4"/>
    </row>
    <row r="71" spans="2:16">
      <c r="B71" t="str">
        <f t="shared" si="0"/>
        <v/>
      </c>
      <c r="C71" s="155">
        <f>IF(D11="","-",+C70+1)</f>
        <v>2070</v>
      </c>
      <c r="D71" s="164">
        <f>IF(F70+SUM(E$17:E70)=D$10,F70,D$10-SUM(E$17:E70))</f>
        <v>0</v>
      </c>
      <c r="E71" s="162">
        <f t="shared" si="7"/>
        <v>0</v>
      </c>
      <c r="F71" s="161">
        <f t="shared" si="8"/>
        <v>0</v>
      </c>
      <c r="G71" s="165">
        <f t="shared" si="9"/>
        <v>0</v>
      </c>
      <c r="H71" s="145">
        <f t="shared" si="10"/>
        <v>0</v>
      </c>
      <c r="I71" s="158">
        <f t="shared" si="1"/>
        <v>0</v>
      </c>
      <c r="J71" s="158"/>
      <c r="K71" s="316"/>
      <c r="L71" s="160">
        <f t="shared" si="2"/>
        <v>0</v>
      </c>
      <c r="M71" s="316"/>
      <c r="N71" s="160">
        <f t="shared" si="3"/>
        <v>0</v>
      </c>
      <c r="O71" s="160">
        <f t="shared" si="4"/>
        <v>0</v>
      </c>
      <c r="P71" s="4"/>
    </row>
    <row r="72" spans="2:16">
      <c r="C72" s="155">
        <f>IF(D12="","-",+C71+1)</f>
        <v>2071</v>
      </c>
      <c r="D72" s="164">
        <f>IF(F71+SUM(E$17:E71)=D$10,F71,D$10-SUM(E$17:E71))</f>
        <v>0</v>
      </c>
      <c r="E72" s="162">
        <f>IF(+I$14&lt;F71,I$14,D72)</f>
        <v>0</v>
      </c>
      <c r="F72" s="161">
        <f>+D72-E72</f>
        <v>0</v>
      </c>
      <c r="G72" s="165">
        <f>(D72+F72)/2*I$12+E72</f>
        <v>0</v>
      </c>
      <c r="H72" s="145">
        <f>+(D72+F72)/2*I$13+E72</f>
        <v>0</v>
      </c>
      <c r="I72" s="158">
        <f>H72-G72</f>
        <v>0</v>
      </c>
      <c r="J72" s="158"/>
      <c r="K72" s="316"/>
      <c r="L72" s="160">
        <f>IF(K72&lt;&gt;0,+G72-K72,0)</f>
        <v>0</v>
      </c>
      <c r="M72" s="316"/>
      <c r="N72" s="160">
        <f>IF(M72&lt;&gt;0,+H72-M72,0)</f>
        <v>0</v>
      </c>
      <c r="O72" s="160">
        <f>+N72-L72</f>
        <v>0</v>
      </c>
      <c r="P72" s="4"/>
    </row>
    <row r="73" spans="2:16" ht="13.5" thickBot="1">
      <c r="B73" t="str">
        <f>IF(D73=F71,"","IU")</f>
        <v/>
      </c>
      <c r="C73" s="166">
        <f>IF(D13="","-",+C72+1)</f>
        <v>2072</v>
      </c>
      <c r="D73" s="168">
        <f>IF(F72+SUM(E$17:E72)=D$10,F72,D$10-SUM(E$17:E72))</f>
        <v>0</v>
      </c>
      <c r="E73" s="168">
        <f>IF(+I$14&lt;F72,I$14,D73)</f>
        <v>0</v>
      </c>
      <c r="F73" s="167">
        <f>+D73-E73</f>
        <v>0</v>
      </c>
      <c r="G73" s="169">
        <f>(D73+F73)/2*I$12+E73</f>
        <v>0</v>
      </c>
      <c r="H73" s="127">
        <f>+(D73+F73)/2*I$13+E73</f>
        <v>0</v>
      </c>
      <c r="I73" s="170">
        <f>H73-G73</f>
        <v>0</v>
      </c>
      <c r="J73" s="158"/>
      <c r="K73" s="317"/>
      <c r="L73" s="171">
        <f>IF(K73&lt;&gt;0,+G73-K73,0)</f>
        <v>0</v>
      </c>
      <c r="M73" s="317"/>
      <c r="N73" s="171">
        <f>IF(M73&lt;&gt;0,+H73-M73,0)</f>
        <v>0</v>
      </c>
      <c r="O73" s="171">
        <f>+N73-L73</f>
        <v>0</v>
      </c>
      <c r="P73" s="4"/>
    </row>
    <row r="74" spans="2:16">
      <c r="C74" s="156" t="s">
        <v>75</v>
      </c>
      <c r="D74" s="112"/>
      <c r="E74" s="112">
        <f>SUM(E17:E73)</f>
        <v>8591402</v>
      </c>
      <c r="F74" s="112"/>
      <c r="G74" s="112">
        <f>SUM(G17:G73)</f>
        <v>29777534.910652533</v>
      </c>
      <c r="H74" s="112">
        <f>SUM(H17:H73)</f>
        <v>29777534.910652533</v>
      </c>
      <c r="I74" s="112">
        <f>SUM(I17:I73)</f>
        <v>0</v>
      </c>
      <c r="J74" s="112"/>
      <c r="K74" s="112"/>
      <c r="L74" s="112"/>
      <c r="M74" s="112"/>
      <c r="N74" s="112"/>
      <c r="O74" s="4"/>
      <c r="P74" s="4"/>
    </row>
    <row r="75" spans="2:16">
      <c r="D75" s="2"/>
      <c r="E75" s="1"/>
      <c r="F75" s="1"/>
      <c r="G75" s="1"/>
      <c r="H75" s="3"/>
      <c r="I75" s="3"/>
      <c r="J75" s="112"/>
      <c r="K75" s="3"/>
      <c r="L75" s="3"/>
      <c r="M75" s="3"/>
      <c r="N75" s="3"/>
      <c r="O75" s="1"/>
      <c r="P75" s="1"/>
    </row>
    <row r="76" spans="2:16">
      <c r="C76" s="172" t="s">
        <v>95</v>
      </c>
      <c r="D76" s="2"/>
      <c r="E76" s="1"/>
      <c r="F76" s="1"/>
      <c r="G76" s="1"/>
      <c r="H76" s="3"/>
      <c r="I76" s="3"/>
      <c r="J76" s="112"/>
      <c r="K76" s="3"/>
      <c r="L76" s="3"/>
      <c r="M76" s="3"/>
      <c r="N76" s="3"/>
      <c r="O76" s="1"/>
      <c r="P76" s="1"/>
    </row>
    <row r="77" spans="2:16">
      <c r="C77" s="124" t="s">
        <v>76</v>
      </c>
      <c r="D77" s="2"/>
      <c r="E77" s="1"/>
      <c r="F77" s="1"/>
      <c r="G77" s="1"/>
      <c r="H77" s="3"/>
      <c r="I77" s="3"/>
      <c r="J77" s="112"/>
      <c r="K77" s="3"/>
      <c r="L77" s="3"/>
      <c r="M77" s="3"/>
      <c r="N77" s="3"/>
      <c r="O77" s="4"/>
      <c r="P77" s="4"/>
    </row>
    <row r="78" spans="2:16">
      <c r="C78" s="124" t="s">
        <v>77</v>
      </c>
      <c r="D78" s="156"/>
      <c r="E78" s="156"/>
      <c r="F78" s="156"/>
      <c r="G78" s="112"/>
      <c r="H78" s="112"/>
      <c r="I78" s="173"/>
      <c r="J78" s="173"/>
      <c r="K78" s="173"/>
      <c r="L78" s="173"/>
      <c r="M78" s="173"/>
      <c r="N78" s="173"/>
      <c r="O78" s="4"/>
      <c r="P78" s="4"/>
    </row>
    <row r="79" spans="2:16">
      <c r="C79" s="124"/>
      <c r="D79" s="156"/>
      <c r="E79" s="156"/>
      <c r="F79" s="156"/>
      <c r="G79" s="112"/>
      <c r="H79" s="112"/>
      <c r="I79" s="173"/>
      <c r="J79" s="173"/>
      <c r="K79" s="173"/>
      <c r="L79" s="173"/>
      <c r="M79" s="173"/>
      <c r="N79" s="173"/>
      <c r="O79" s="4"/>
      <c r="P79" s="1"/>
    </row>
    <row r="80" spans="2:16">
      <c r="B80" s="1"/>
      <c r="C80" s="23"/>
      <c r="D80" s="2"/>
      <c r="E80" s="1"/>
      <c r="F80" s="108"/>
      <c r="G80" s="1"/>
      <c r="H80" s="3"/>
      <c r="I80" s="1"/>
      <c r="J80" s="4"/>
      <c r="K80" s="1"/>
      <c r="L80" s="1"/>
      <c r="M80" s="1"/>
      <c r="N80" s="1"/>
      <c r="O80" s="1"/>
      <c r="P80" s="1"/>
    </row>
    <row r="81" spans="1:16" ht="18">
      <c r="B81" s="1"/>
      <c r="C81" s="239"/>
      <c r="D81" s="2"/>
      <c r="E81" s="1"/>
      <c r="F81" s="108"/>
      <c r="G81" s="1"/>
      <c r="H81" s="3"/>
      <c r="I81" s="1"/>
      <c r="J81" s="4"/>
      <c r="K81" s="1"/>
      <c r="L81" s="1"/>
      <c r="M81" s="1"/>
      <c r="N81" s="1"/>
      <c r="P81" s="241" t="s">
        <v>128</v>
      </c>
    </row>
    <row r="82" spans="1:16">
      <c r="B82" s="1"/>
      <c r="C82" s="23"/>
      <c r="D82" s="2"/>
      <c r="E82" s="1"/>
      <c r="F82" s="108"/>
      <c r="G82" s="1"/>
      <c r="H82" s="3"/>
      <c r="I82" s="1"/>
      <c r="J82" s="4"/>
      <c r="K82" s="1"/>
      <c r="L82" s="1"/>
      <c r="M82" s="1"/>
      <c r="N82" s="1"/>
      <c r="O82" s="1"/>
      <c r="P82" s="1"/>
    </row>
    <row r="83" spans="1:16">
      <c r="B83" s="1"/>
      <c r="C83" s="23"/>
      <c r="D83" s="2"/>
      <c r="E83" s="1"/>
      <c r="F83" s="108"/>
      <c r="G83" s="1"/>
      <c r="H83" s="3"/>
      <c r="I83" s="1"/>
      <c r="J83" s="4"/>
      <c r="K83" s="1"/>
      <c r="L83" s="1"/>
      <c r="M83" s="1"/>
      <c r="N83" s="1"/>
      <c r="O83" s="1"/>
      <c r="P83" s="1"/>
    </row>
    <row r="84" spans="1:16" ht="20.25">
      <c r="A84" s="240" t="s">
        <v>190</v>
      </c>
      <c r="B84" s="1"/>
      <c r="C84" s="23"/>
      <c r="D84" s="2"/>
      <c r="E84" s="1"/>
      <c r="F84" s="100"/>
      <c r="G84" s="100"/>
      <c r="H84" s="1"/>
      <c r="I84" s="3"/>
      <c r="K84" s="7"/>
      <c r="L84" s="110"/>
      <c r="M84" s="110"/>
      <c r="P84" s="110" t="str">
        <f ca="1">P1</f>
        <v>OKT Project 18 of 19</v>
      </c>
    </row>
    <row r="85" spans="1:16" ht="18">
      <c r="B85" s="1"/>
      <c r="C85" s="1"/>
      <c r="D85" s="2"/>
      <c r="E85" s="1"/>
      <c r="F85" s="1"/>
      <c r="G85" s="1"/>
      <c r="H85" s="1"/>
      <c r="I85" s="3"/>
      <c r="J85" s="1"/>
      <c r="K85" s="4"/>
      <c r="L85" s="1"/>
      <c r="M85" s="1"/>
      <c r="P85" s="247" t="s">
        <v>132</v>
      </c>
    </row>
    <row r="86" spans="1:16" ht="18.75" thickBot="1">
      <c r="B86" s="5" t="s">
        <v>42</v>
      </c>
      <c r="C86" s="197" t="s">
        <v>81</v>
      </c>
      <c r="D86" s="2"/>
      <c r="E86" s="1"/>
      <c r="F86" s="1"/>
      <c r="G86" s="1"/>
      <c r="H86" s="1"/>
      <c r="I86" s="3"/>
      <c r="J86" s="3"/>
      <c r="K86" s="112"/>
      <c r="L86" s="3"/>
      <c r="M86" s="3"/>
      <c r="N86" s="3"/>
      <c r="O86" s="112"/>
      <c r="P86" s="1"/>
    </row>
    <row r="87" spans="1:16" ht="15.75" thickBot="1">
      <c r="C87" s="68"/>
      <c r="D87" s="2"/>
      <c r="E87" s="1"/>
      <c r="F87" s="1"/>
      <c r="G87" s="1"/>
      <c r="H87" s="1"/>
      <c r="I87" s="3"/>
      <c r="J87" s="3"/>
      <c r="K87" s="112"/>
      <c r="L87" s="248">
        <f>+J93</f>
        <v>2018</v>
      </c>
      <c r="M87" s="249" t="s">
        <v>9</v>
      </c>
      <c r="N87" s="250" t="s">
        <v>134</v>
      </c>
      <c r="O87" s="251" t="s">
        <v>11</v>
      </c>
      <c r="P87" s="1"/>
    </row>
    <row r="88" spans="1:16" ht="15">
      <c r="C88" s="233" t="s">
        <v>44</v>
      </c>
      <c r="D88" s="2"/>
      <c r="E88" s="1"/>
      <c r="F88" s="1"/>
      <c r="G88" s="1"/>
      <c r="H88" s="114"/>
      <c r="I88" s="1" t="s">
        <v>45</v>
      </c>
      <c r="J88" s="1"/>
      <c r="K88" s="252"/>
      <c r="L88" s="253" t="s">
        <v>253</v>
      </c>
      <c r="M88" s="198">
        <f>IF(J93&lt;D11,0,VLOOKUP(J93,C17:O73,9))</f>
        <v>1187888.4238656519</v>
      </c>
      <c r="N88" s="198">
        <f>IF(J93&lt;D11,0,VLOOKUP(J93,C17:O73,11))</f>
        <v>1187888.4238656519</v>
      </c>
      <c r="O88" s="199">
        <f>+N88-M88</f>
        <v>0</v>
      </c>
      <c r="P88" s="1"/>
    </row>
    <row r="89" spans="1:16" ht="15.75">
      <c r="C89" s="8"/>
      <c r="D89" s="2"/>
      <c r="E89" s="1"/>
      <c r="F89" s="1"/>
      <c r="G89" s="1"/>
      <c r="H89" s="1"/>
      <c r="I89" s="119"/>
      <c r="J89" s="119"/>
      <c r="K89" s="254"/>
      <c r="L89" s="255" t="s">
        <v>254</v>
      </c>
      <c r="M89" s="200">
        <f>IF(J93&lt;D11,0,VLOOKUP(J93,C100:P155,6))</f>
        <v>1133371.2694888508</v>
      </c>
      <c r="N89" s="200">
        <f>IF(J93&lt;D11,0,VLOOKUP(J93,C100:P155,7))</f>
        <v>1133371.2694888508</v>
      </c>
      <c r="O89" s="201">
        <f>+N89-M89</f>
        <v>0</v>
      </c>
      <c r="P89" s="1"/>
    </row>
    <row r="90" spans="1:16" ht="13.5" thickBot="1">
      <c r="C90" s="124" t="s">
        <v>82</v>
      </c>
      <c r="D90" s="243" t="str">
        <f>+D7</f>
        <v>Duncan-Comanche Tap 69 KV Rebuild</v>
      </c>
      <c r="E90" s="1"/>
      <c r="F90" s="1"/>
      <c r="G90" s="1"/>
      <c r="H90" s="1"/>
      <c r="I90" s="3"/>
      <c r="J90" s="3"/>
      <c r="K90" s="256"/>
      <c r="L90" s="257" t="s">
        <v>135</v>
      </c>
      <c r="M90" s="203">
        <f>+M89-M88</f>
        <v>-54517.154376801103</v>
      </c>
      <c r="N90" s="203">
        <f>+N89-N88</f>
        <v>-54517.154376801103</v>
      </c>
      <c r="O90" s="204">
        <f>+O89-O88</f>
        <v>0</v>
      </c>
      <c r="P90" s="1"/>
    </row>
    <row r="91" spans="1:16" ht="13.5" thickBot="1">
      <c r="C91" s="172"/>
      <c r="D91" s="174" t="str">
        <f>IF(D8="","",D8)</f>
        <v/>
      </c>
      <c r="E91" s="108"/>
      <c r="F91" s="108"/>
      <c r="G91" s="108"/>
      <c r="H91" s="129"/>
      <c r="I91" s="3"/>
      <c r="J91" s="3"/>
      <c r="K91" s="112"/>
      <c r="L91" s="3"/>
      <c r="M91" s="3"/>
      <c r="N91" s="3"/>
      <c r="O91" s="112"/>
      <c r="P91" s="1"/>
    </row>
    <row r="92" spans="1:16" ht="13.5" thickBot="1">
      <c r="A92" s="104"/>
      <c r="C92" s="205" t="s">
        <v>83</v>
      </c>
      <c r="D92" s="223" t="str">
        <f>+D9</f>
        <v>TP 2015191</v>
      </c>
      <c r="E92" s="206"/>
      <c r="F92" s="206"/>
      <c r="G92" s="206"/>
      <c r="H92" s="206"/>
      <c r="I92" s="206"/>
      <c r="J92" s="206"/>
      <c r="K92" s="207"/>
      <c r="P92" s="134"/>
    </row>
    <row r="93" spans="1:16">
      <c r="C93" s="139" t="s">
        <v>49</v>
      </c>
      <c r="D93" s="141">
        <v>8789790</v>
      </c>
      <c r="E93" s="23" t="s">
        <v>84</v>
      </c>
      <c r="H93" s="137"/>
      <c r="I93" s="137"/>
      <c r="J93" s="138">
        <f>+'OKT.WS.G.BPU.ATRR.True-up'!M16</f>
        <v>2018</v>
      </c>
      <c r="K93" s="133"/>
      <c r="L93" s="112" t="s">
        <v>85</v>
      </c>
      <c r="P93" s="4"/>
    </row>
    <row r="94" spans="1:16">
      <c r="C94" s="139" t="s">
        <v>52</v>
      </c>
      <c r="D94" s="218">
        <f>IF(D11="","",D11)</f>
        <v>2016</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row>
    <row r="95" spans="1:16">
      <c r="C95" s="139" t="s">
        <v>54</v>
      </c>
      <c r="D95" s="218">
        <f>IF(D12="","",D12)</f>
        <v>12</v>
      </c>
      <c r="E95" s="139" t="s">
        <v>55</v>
      </c>
      <c r="F95" s="137"/>
      <c r="G95" s="137"/>
      <c r="J95" s="143">
        <f>'OKT.WS.G.BPU.ATRR.True-up'!$F$81</f>
        <v>0.10556244909908279</v>
      </c>
      <c r="K95" s="144"/>
      <c r="L95" t="s">
        <v>86</v>
      </c>
      <c r="P95" s="4"/>
    </row>
    <row r="96" spans="1:16">
      <c r="C96" s="139" t="s">
        <v>57</v>
      </c>
      <c r="D96" s="141">
        <f>'OKT.WS.G.BPU.ATRR.True-up'!F$93</f>
        <v>36</v>
      </c>
      <c r="E96" s="139" t="s">
        <v>58</v>
      </c>
      <c r="F96" s="137"/>
      <c r="G96" s="137"/>
      <c r="J96" s="143">
        <f>IF(H88="",J95,'OKT.WS.G.BPU.ATRR.True-up'!$F$80)</f>
        <v>0.10556244909908279</v>
      </c>
      <c r="K96" s="60"/>
      <c r="L96" s="112" t="s">
        <v>59</v>
      </c>
      <c r="M96" s="60"/>
      <c r="N96" s="60"/>
      <c r="O96" s="60"/>
      <c r="P96" s="4"/>
    </row>
    <row r="97" spans="1:16" ht="13.5" thickBot="1">
      <c r="C97" s="139" t="s">
        <v>60</v>
      </c>
      <c r="D97" s="219" t="str">
        <f>+D14</f>
        <v>No</v>
      </c>
      <c r="E97" s="202" t="s">
        <v>62</v>
      </c>
      <c r="F97" s="208"/>
      <c r="G97" s="208"/>
      <c r="H97" s="209"/>
      <c r="I97" s="209"/>
      <c r="J97" s="127">
        <f>IF(D93=0,0,D93/D96)</f>
        <v>244160.83333333334</v>
      </c>
      <c r="K97" s="112"/>
      <c r="L97" s="112"/>
      <c r="M97" s="112"/>
      <c r="N97" s="112"/>
      <c r="O97" s="112"/>
      <c r="P97" s="4"/>
    </row>
    <row r="98" spans="1:16"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row>
    <row r="99" spans="1:16" ht="13.5" thickBot="1">
      <c r="C99" s="150" t="s">
        <v>68</v>
      </c>
      <c r="D99" s="212" t="s">
        <v>69</v>
      </c>
      <c r="E99" s="150" t="s">
        <v>70</v>
      </c>
      <c r="F99" s="150" t="s">
        <v>69</v>
      </c>
      <c r="G99" s="150" t="s">
        <v>69</v>
      </c>
      <c r="H99" s="321" t="s">
        <v>71</v>
      </c>
      <c r="I99" s="151" t="s">
        <v>72</v>
      </c>
      <c r="J99" s="152" t="s">
        <v>93</v>
      </c>
      <c r="K99" s="153"/>
      <c r="L99" s="154" t="s">
        <v>74</v>
      </c>
      <c r="M99" s="154" t="s">
        <v>74</v>
      </c>
      <c r="N99" s="154" t="s">
        <v>94</v>
      </c>
      <c r="O99" s="154" t="s">
        <v>94</v>
      </c>
      <c r="P99" s="154" t="s">
        <v>94</v>
      </c>
    </row>
    <row r="100" spans="1:16">
      <c r="B100" t="str">
        <f t="shared" ref="B100:B155" si="11">IF(D100=F99,"","IU")</f>
        <v>IU</v>
      </c>
      <c r="C100" s="155">
        <f>IF(D94= "","-",D94)</f>
        <v>2016</v>
      </c>
      <c r="D100" s="156">
        <f>IF(D94=C100,0,IF(D93&lt;100000,0,D93))</f>
        <v>0</v>
      </c>
      <c r="E100" s="163">
        <f>IF(D93&lt;100000,0,J$97/12*(12-D95))</f>
        <v>0</v>
      </c>
      <c r="F100" s="161">
        <f>IF(D94=C100,+D93-E100,+D100-E100)</f>
        <v>8789790</v>
      </c>
      <c r="G100" s="213">
        <f>+(F100+D100)/2</f>
        <v>4394895</v>
      </c>
      <c r="H100" s="213">
        <f t="shared" ref="H100:H155" si="12">+J$95*G100+E100</f>
        <v>463935.87973331346</v>
      </c>
      <c r="I100" s="213">
        <f>+J$96*G100+E100</f>
        <v>463935.87973331346</v>
      </c>
      <c r="J100" s="160">
        <f t="shared" ref="J100:J131" si="13">+I100-H100</f>
        <v>0</v>
      </c>
      <c r="K100" s="160"/>
      <c r="L100" s="315"/>
      <c r="M100" s="159">
        <f t="shared" ref="M100:M131" si="14">IF(L100&lt;&gt;0,+H100-L100,0)</f>
        <v>0</v>
      </c>
      <c r="N100" s="315"/>
      <c r="O100" s="159">
        <f t="shared" ref="O100:O131" si="15">IF(N100&lt;&gt;0,+I100-N100,0)</f>
        <v>0</v>
      </c>
      <c r="P100" s="159">
        <f t="shared" ref="P100:P131" si="16">+O100-M100</f>
        <v>0</v>
      </c>
    </row>
    <row r="101" spans="1:16">
      <c r="B101" t="str">
        <f t="shared" si="11"/>
        <v/>
      </c>
      <c r="C101" s="155">
        <f>IF(D94="","-",+C100+1)</f>
        <v>2017</v>
      </c>
      <c r="D101" s="156">
        <f>IF(F100+SUM(E$100:E100)=D$93,F100,D$93-SUM(E$100:E100))</f>
        <v>8789790</v>
      </c>
      <c r="E101" s="162">
        <f t="shared" ref="E101:E155" si="17">IF(+J$97&lt;F100,J$97,D101)</f>
        <v>244160.83333333334</v>
      </c>
      <c r="F101" s="161">
        <f t="shared" ref="F101:F155" si="18">+D101-E101</f>
        <v>8545629.166666666</v>
      </c>
      <c r="G101" s="161">
        <f t="shared" ref="G101:G155" si="19">+(F101+D101)/2</f>
        <v>8667709.5833333321</v>
      </c>
      <c r="H101" s="314">
        <f t="shared" si="12"/>
        <v>1159145.4850295903</v>
      </c>
      <c r="I101" s="323">
        <f t="shared" ref="I101:I155" si="20">+J$96*G101+E101</f>
        <v>1159145.4850295903</v>
      </c>
      <c r="J101" s="160">
        <f t="shared" si="13"/>
        <v>0</v>
      </c>
      <c r="K101" s="160"/>
      <c r="L101" s="316"/>
      <c r="M101" s="160">
        <f t="shared" si="14"/>
        <v>0</v>
      </c>
      <c r="N101" s="316"/>
      <c r="O101" s="160">
        <f t="shared" si="15"/>
        <v>0</v>
      </c>
      <c r="P101" s="160">
        <f t="shared" si="16"/>
        <v>0</v>
      </c>
    </row>
    <row r="102" spans="1:16">
      <c r="B102" t="str">
        <f t="shared" si="11"/>
        <v/>
      </c>
      <c r="C102" s="155">
        <f>IF(D94="","-",+C101+1)</f>
        <v>2018</v>
      </c>
      <c r="D102" s="156">
        <f>IF(F101+SUM(E$100:E101)=D$93,F101,D$93-SUM(E$100:E101))</f>
        <v>8545629.166666666</v>
      </c>
      <c r="E102" s="162">
        <f t="shared" si="17"/>
        <v>244160.83333333334</v>
      </c>
      <c r="F102" s="161">
        <f t="shared" si="18"/>
        <v>8301468.333333333</v>
      </c>
      <c r="G102" s="161">
        <f t="shared" si="19"/>
        <v>8423548.75</v>
      </c>
      <c r="H102" s="314">
        <f t="shared" si="12"/>
        <v>1133371.2694888508</v>
      </c>
      <c r="I102" s="323">
        <f t="shared" si="20"/>
        <v>1133371.2694888508</v>
      </c>
      <c r="J102" s="160">
        <f t="shared" si="13"/>
        <v>0</v>
      </c>
      <c r="K102" s="160"/>
      <c r="L102" s="316"/>
      <c r="M102" s="160">
        <f t="shared" si="14"/>
        <v>0</v>
      </c>
      <c r="N102" s="316"/>
      <c r="O102" s="160">
        <f t="shared" si="15"/>
        <v>0</v>
      </c>
      <c r="P102" s="160">
        <f t="shared" si="16"/>
        <v>0</v>
      </c>
    </row>
    <row r="103" spans="1:16">
      <c r="B103" t="str">
        <f t="shared" si="11"/>
        <v/>
      </c>
      <c r="C103" s="155">
        <f>IF(D94="","-",+C102+1)</f>
        <v>2019</v>
      </c>
      <c r="D103" s="156">
        <f>IF(F102+SUM(E$100:E102)=D$93,F102,D$93-SUM(E$100:E102))</f>
        <v>8301468.333333333</v>
      </c>
      <c r="E103" s="162">
        <f t="shared" si="17"/>
        <v>244160.83333333334</v>
      </c>
      <c r="F103" s="161">
        <f t="shared" si="18"/>
        <v>8057307.5</v>
      </c>
      <c r="G103" s="161">
        <f t="shared" si="19"/>
        <v>8179387.916666666</v>
      </c>
      <c r="H103" s="314">
        <f t="shared" si="12"/>
        <v>1107597.0539481111</v>
      </c>
      <c r="I103" s="323">
        <f t="shared" si="20"/>
        <v>1107597.0539481111</v>
      </c>
      <c r="J103" s="160">
        <f t="shared" si="13"/>
        <v>0</v>
      </c>
      <c r="K103" s="160"/>
      <c r="L103" s="316"/>
      <c r="M103" s="160">
        <f t="shared" si="14"/>
        <v>0</v>
      </c>
      <c r="N103" s="316"/>
      <c r="O103" s="160">
        <f t="shared" si="15"/>
        <v>0</v>
      </c>
      <c r="P103" s="160">
        <f t="shared" si="16"/>
        <v>0</v>
      </c>
    </row>
    <row r="104" spans="1:16">
      <c r="B104" t="str">
        <f t="shared" si="11"/>
        <v/>
      </c>
      <c r="C104" s="155">
        <f>IF(D94="","-",+C103+1)</f>
        <v>2020</v>
      </c>
      <c r="D104" s="156">
        <f>IF(F103+SUM(E$100:E103)=D$93,F103,D$93-SUM(E$100:E103))</f>
        <v>8057307.5</v>
      </c>
      <c r="E104" s="162">
        <f t="shared" si="17"/>
        <v>244160.83333333334</v>
      </c>
      <c r="F104" s="161">
        <f t="shared" si="18"/>
        <v>7813146.666666667</v>
      </c>
      <c r="G104" s="161">
        <f t="shared" si="19"/>
        <v>7935227.083333334</v>
      </c>
      <c r="H104" s="314">
        <f t="shared" si="12"/>
        <v>1081822.8384073714</v>
      </c>
      <c r="I104" s="323">
        <f t="shared" si="20"/>
        <v>1081822.8384073714</v>
      </c>
      <c r="J104" s="160">
        <f t="shared" si="13"/>
        <v>0</v>
      </c>
      <c r="K104" s="160"/>
      <c r="L104" s="316"/>
      <c r="M104" s="160">
        <f t="shared" si="14"/>
        <v>0</v>
      </c>
      <c r="N104" s="316"/>
      <c r="O104" s="160">
        <f t="shared" si="15"/>
        <v>0</v>
      </c>
      <c r="P104" s="160">
        <f t="shared" si="16"/>
        <v>0</v>
      </c>
    </row>
    <row r="105" spans="1:16">
      <c r="B105" t="str">
        <f t="shared" si="11"/>
        <v/>
      </c>
      <c r="C105" s="155">
        <f>IF(D94="","-",+C104+1)</f>
        <v>2021</v>
      </c>
      <c r="D105" s="156">
        <f>IF(F104+SUM(E$100:E104)=D$93,F104,D$93-SUM(E$100:E104))</f>
        <v>7813146.666666667</v>
      </c>
      <c r="E105" s="162">
        <f t="shared" si="17"/>
        <v>244160.83333333334</v>
      </c>
      <c r="F105" s="161">
        <f t="shared" si="18"/>
        <v>7568985.833333334</v>
      </c>
      <c r="G105" s="161">
        <f t="shared" si="19"/>
        <v>7691066.25</v>
      </c>
      <c r="H105" s="314">
        <f t="shared" si="12"/>
        <v>1056048.622866632</v>
      </c>
      <c r="I105" s="323">
        <f t="shared" si="20"/>
        <v>1056048.622866632</v>
      </c>
      <c r="J105" s="160">
        <f t="shared" si="13"/>
        <v>0</v>
      </c>
      <c r="K105" s="160"/>
      <c r="L105" s="316"/>
      <c r="M105" s="160">
        <f t="shared" si="14"/>
        <v>0</v>
      </c>
      <c r="N105" s="316"/>
      <c r="O105" s="160">
        <f t="shared" si="15"/>
        <v>0</v>
      </c>
      <c r="P105" s="160">
        <f t="shared" si="16"/>
        <v>0</v>
      </c>
    </row>
    <row r="106" spans="1:16">
      <c r="B106" t="str">
        <f t="shared" si="11"/>
        <v/>
      </c>
      <c r="C106" s="155">
        <f>IF(D94="","-",+C105+1)</f>
        <v>2022</v>
      </c>
      <c r="D106" s="156">
        <f>IF(F105+SUM(E$100:E105)=D$93,F105,D$93-SUM(E$100:E105))</f>
        <v>7568985.833333334</v>
      </c>
      <c r="E106" s="162">
        <f t="shared" si="17"/>
        <v>244160.83333333334</v>
      </c>
      <c r="F106" s="161">
        <f t="shared" si="18"/>
        <v>7324825.0000000009</v>
      </c>
      <c r="G106" s="161">
        <f t="shared" si="19"/>
        <v>7446905.4166666679</v>
      </c>
      <c r="H106" s="314">
        <f t="shared" si="12"/>
        <v>1030274.4073258924</v>
      </c>
      <c r="I106" s="323">
        <f t="shared" si="20"/>
        <v>1030274.4073258924</v>
      </c>
      <c r="J106" s="160">
        <f t="shared" si="13"/>
        <v>0</v>
      </c>
      <c r="K106" s="160"/>
      <c r="L106" s="316"/>
      <c r="M106" s="160">
        <f t="shared" si="14"/>
        <v>0</v>
      </c>
      <c r="N106" s="316"/>
      <c r="O106" s="160">
        <f t="shared" si="15"/>
        <v>0</v>
      </c>
      <c r="P106" s="160">
        <f t="shared" si="16"/>
        <v>0</v>
      </c>
    </row>
    <row r="107" spans="1:16">
      <c r="B107" t="str">
        <f t="shared" si="11"/>
        <v/>
      </c>
      <c r="C107" s="155">
        <f>IF(D94="","-",+C106+1)</f>
        <v>2023</v>
      </c>
      <c r="D107" s="156">
        <f>IF(F106+SUM(E$100:E106)=D$93,F106,D$93-SUM(E$100:E106))</f>
        <v>7324825.0000000009</v>
      </c>
      <c r="E107" s="162">
        <f t="shared" si="17"/>
        <v>244160.83333333334</v>
      </c>
      <c r="F107" s="161">
        <f t="shared" si="18"/>
        <v>7080664.1666666679</v>
      </c>
      <c r="G107" s="161">
        <f t="shared" si="19"/>
        <v>7202744.583333334</v>
      </c>
      <c r="H107" s="314">
        <f t="shared" si="12"/>
        <v>1004500.1917851527</v>
      </c>
      <c r="I107" s="323">
        <f t="shared" si="20"/>
        <v>1004500.1917851527</v>
      </c>
      <c r="J107" s="160">
        <f t="shared" si="13"/>
        <v>0</v>
      </c>
      <c r="K107" s="160"/>
      <c r="L107" s="316"/>
      <c r="M107" s="160">
        <f t="shared" si="14"/>
        <v>0</v>
      </c>
      <c r="N107" s="316"/>
      <c r="O107" s="160">
        <f t="shared" si="15"/>
        <v>0</v>
      </c>
      <c r="P107" s="160">
        <f t="shared" si="16"/>
        <v>0</v>
      </c>
    </row>
    <row r="108" spans="1:16">
      <c r="B108" t="str">
        <f t="shared" si="11"/>
        <v/>
      </c>
      <c r="C108" s="155">
        <f>IF(D94="","-",+C107+1)</f>
        <v>2024</v>
      </c>
      <c r="D108" s="156">
        <f>IF(F107+SUM(E$100:E107)=D$93,F107,D$93-SUM(E$100:E107))</f>
        <v>7080664.1666666679</v>
      </c>
      <c r="E108" s="162">
        <f t="shared" si="17"/>
        <v>244160.83333333334</v>
      </c>
      <c r="F108" s="161">
        <f t="shared" si="18"/>
        <v>6836503.3333333349</v>
      </c>
      <c r="G108" s="161">
        <f t="shared" si="19"/>
        <v>6958583.7500000019</v>
      </c>
      <c r="H108" s="314">
        <f t="shared" si="12"/>
        <v>978725.97624441318</v>
      </c>
      <c r="I108" s="323">
        <f t="shared" si="20"/>
        <v>978725.97624441318</v>
      </c>
      <c r="J108" s="160">
        <f t="shared" si="13"/>
        <v>0</v>
      </c>
      <c r="K108" s="160"/>
      <c r="L108" s="316"/>
      <c r="M108" s="160">
        <f t="shared" si="14"/>
        <v>0</v>
      </c>
      <c r="N108" s="316"/>
      <c r="O108" s="160">
        <f t="shared" si="15"/>
        <v>0</v>
      </c>
      <c r="P108" s="160">
        <f t="shared" si="16"/>
        <v>0</v>
      </c>
    </row>
    <row r="109" spans="1:16">
      <c r="B109" t="str">
        <f t="shared" si="11"/>
        <v/>
      </c>
      <c r="C109" s="155">
        <f>IF(D94="","-",+C108+1)</f>
        <v>2025</v>
      </c>
      <c r="D109" s="156">
        <f>IF(F108+SUM(E$100:E108)=D$93,F108,D$93-SUM(E$100:E108))</f>
        <v>6836503.3333333349</v>
      </c>
      <c r="E109" s="162">
        <f t="shared" si="17"/>
        <v>244160.83333333334</v>
      </c>
      <c r="F109" s="161">
        <f t="shared" si="18"/>
        <v>6592342.5000000019</v>
      </c>
      <c r="G109" s="161">
        <f t="shared" si="19"/>
        <v>6714422.9166666679</v>
      </c>
      <c r="H109" s="314">
        <f t="shared" si="12"/>
        <v>952951.76070367347</v>
      </c>
      <c r="I109" s="323">
        <f t="shared" si="20"/>
        <v>952951.76070367347</v>
      </c>
      <c r="J109" s="160">
        <f t="shared" si="13"/>
        <v>0</v>
      </c>
      <c r="K109" s="160"/>
      <c r="L109" s="316"/>
      <c r="M109" s="160">
        <f t="shared" si="14"/>
        <v>0</v>
      </c>
      <c r="N109" s="316"/>
      <c r="O109" s="160">
        <f t="shared" si="15"/>
        <v>0</v>
      </c>
      <c r="P109" s="160">
        <f t="shared" si="16"/>
        <v>0</v>
      </c>
    </row>
    <row r="110" spans="1:16">
      <c r="B110" t="str">
        <f t="shared" si="11"/>
        <v/>
      </c>
      <c r="C110" s="155">
        <f>IF(D94="","-",+C109+1)</f>
        <v>2026</v>
      </c>
      <c r="D110" s="156">
        <f>IF(F109+SUM(E$100:E109)=D$93,F109,D$93-SUM(E$100:E109))</f>
        <v>6592342.5000000019</v>
      </c>
      <c r="E110" s="162">
        <f t="shared" si="17"/>
        <v>244160.83333333334</v>
      </c>
      <c r="F110" s="161">
        <f t="shared" si="18"/>
        <v>6348181.6666666688</v>
      </c>
      <c r="G110" s="161">
        <f t="shared" si="19"/>
        <v>6470262.0833333358</v>
      </c>
      <c r="H110" s="314">
        <f t="shared" si="12"/>
        <v>927177.545162934</v>
      </c>
      <c r="I110" s="323">
        <f t="shared" si="20"/>
        <v>927177.545162934</v>
      </c>
      <c r="J110" s="160">
        <f t="shared" si="13"/>
        <v>0</v>
      </c>
      <c r="K110" s="160"/>
      <c r="L110" s="316"/>
      <c r="M110" s="160">
        <f t="shared" si="14"/>
        <v>0</v>
      </c>
      <c r="N110" s="316"/>
      <c r="O110" s="160">
        <f t="shared" si="15"/>
        <v>0</v>
      </c>
      <c r="P110" s="160">
        <f t="shared" si="16"/>
        <v>0</v>
      </c>
    </row>
    <row r="111" spans="1:16">
      <c r="B111" t="str">
        <f t="shared" si="11"/>
        <v/>
      </c>
      <c r="C111" s="155">
        <f>IF(D94="","-",+C110+1)</f>
        <v>2027</v>
      </c>
      <c r="D111" s="156">
        <f>IF(F110+SUM(E$100:E110)=D$93,F110,D$93-SUM(E$100:E110))</f>
        <v>6348181.6666666688</v>
      </c>
      <c r="E111" s="162">
        <f t="shared" si="17"/>
        <v>244160.83333333334</v>
      </c>
      <c r="F111" s="161">
        <f t="shared" si="18"/>
        <v>6104020.8333333358</v>
      </c>
      <c r="G111" s="161">
        <f t="shared" si="19"/>
        <v>6226101.2500000019</v>
      </c>
      <c r="H111" s="314">
        <f t="shared" si="12"/>
        <v>901403.32962219429</v>
      </c>
      <c r="I111" s="323">
        <f t="shared" si="20"/>
        <v>901403.32962219429</v>
      </c>
      <c r="J111" s="160">
        <f t="shared" si="13"/>
        <v>0</v>
      </c>
      <c r="K111" s="160"/>
      <c r="L111" s="316"/>
      <c r="M111" s="160">
        <f t="shared" si="14"/>
        <v>0</v>
      </c>
      <c r="N111" s="316"/>
      <c r="O111" s="160">
        <f t="shared" si="15"/>
        <v>0</v>
      </c>
      <c r="P111" s="160">
        <f t="shared" si="16"/>
        <v>0</v>
      </c>
    </row>
    <row r="112" spans="1:16">
      <c r="B112" t="str">
        <f t="shared" si="11"/>
        <v/>
      </c>
      <c r="C112" s="155">
        <f>IF(D94="","-",+C111+1)</f>
        <v>2028</v>
      </c>
      <c r="D112" s="156">
        <f>IF(F111+SUM(E$100:E111)=D$93,F111,D$93-SUM(E$100:E111))</f>
        <v>6104020.8333333358</v>
      </c>
      <c r="E112" s="162">
        <f t="shared" si="17"/>
        <v>244160.83333333334</v>
      </c>
      <c r="F112" s="161">
        <f t="shared" si="18"/>
        <v>5859860.0000000028</v>
      </c>
      <c r="G112" s="161">
        <f t="shared" si="19"/>
        <v>5981940.4166666698</v>
      </c>
      <c r="H112" s="314">
        <f t="shared" si="12"/>
        <v>875629.11408145481</v>
      </c>
      <c r="I112" s="323">
        <f t="shared" si="20"/>
        <v>875629.11408145481</v>
      </c>
      <c r="J112" s="160">
        <f t="shared" si="13"/>
        <v>0</v>
      </c>
      <c r="K112" s="160"/>
      <c r="L112" s="316"/>
      <c r="M112" s="160">
        <f t="shared" si="14"/>
        <v>0</v>
      </c>
      <c r="N112" s="316"/>
      <c r="O112" s="160">
        <f t="shared" si="15"/>
        <v>0</v>
      </c>
      <c r="P112" s="160">
        <f t="shared" si="16"/>
        <v>0</v>
      </c>
    </row>
    <row r="113" spans="2:16">
      <c r="B113" t="str">
        <f t="shared" si="11"/>
        <v/>
      </c>
      <c r="C113" s="155">
        <f>IF(D94="","-",+C112+1)</f>
        <v>2029</v>
      </c>
      <c r="D113" s="156">
        <f>IF(F112+SUM(E$100:E112)=D$93,F112,D$93-SUM(E$100:E112))</f>
        <v>5859860.0000000028</v>
      </c>
      <c r="E113" s="162">
        <f t="shared" si="17"/>
        <v>244160.83333333334</v>
      </c>
      <c r="F113" s="161">
        <f t="shared" si="18"/>
        <v>5615699.1666666698</v>
      </c>
      <c r="G113" s="161">
        <f t="shared" si="19"/>
        <v>5737779.5833333358</v>
      </c>
      <c r="H113" s="314">
        <f t="shared" si="12"/>
        <v>849854.8985407151</v>
      </c>
      <c r="I113" s="323">
        <f t="shared" si="20"/>
        <v>849854.8985407151</v>
      </c>
      <c r="J113" s="160">
        <f t="shared" si="13"/>
        <v>0</v>
      </c>
      <c r="K113" s="160"/>
      <c r="L113" s="316"/>
      <c r="M113" s="160">
        <f t="shared" si="14"/>
        <v>0</v>
      </c>
      <c r="N113" s="316"/>
      <c r="O113" s="160">
        <f t="shared" si="15"/>
        <v>0</v>
      </c>
      <c r="P113" s="160">
        <f t="shared" si="16"/>
        <v>0</v>
      </c>
    </row>
    <row r="114" spans="2:16">
      <c r="B114" t="str">
        <f t="shared" si="11"/>
        <v/>
      </c>
      <c r="C114" s="155">
        <f>IF(D94="","-",+C113+1)</f>
        <v>2030</v>
      </c>
      <c r="D114" s="156">
        <f>IF(F113+SUM(E$100:E113)=D$93,F113,D$93-SUM(E$100:E113))</f>
        <v>5615699.1666666698</v>
      </c>
      <c r="E114" s="162">
        <f t="shared" si="17"/>
        <v>244160.83333333334</v>
      </c>
      <c r="F114" s="161">
        <f t="shared" si="18"/>
        <v>5371538.3333333367</v>
      </c>
      <c r="G114" s="161">
        <f t="shared" si="19"/>
        <v>5493618.7500000037</v>
      </c>
      <c r="H114" s="314">
        <f t="shared" si="12"/>
        <v>824080.68299997551</v>
      </c>
      <c r="I114" s="323">
        <f t="shared" si="20"/>
        <v>824080.68299997551</v>
      </c>
      <c r="J114" s="160">
        <f t="shared" si="13"/>
        <v>0</v>
      </c>
      <c r="K114" s="160"/>
      <c r="L114" s="316"/>
      <c r="M114" s="160">
        <f t="shared" si="14"/>
        <v>0</v>
      </c>
      <c r="N114" s="316"/>
      <c r="O114" s="160">
        <f t="shared" si="15"/>
        <v>0</v>
      </c>
      <c r="P114" s="160">
        <f t="shared" si="16"/>
        <v>0</v>
      </c>
    </row>
    <row r="115" spans="2:16">
      <c r="B115" t="str">
        <f t="shared" si="11"/>
        <v/>
      </c>
      <c r="C115" s="155">
        <f>IF(D94="","-",+C114+1)</f>
        <v>2031</v>
      </c>
      <c r="D115" s="156">
        <f>IF(F114+SUM(E$100:E114)=D$93,F114,D$93-SUM(E$100:E114))</f>
        <v>5371538.3333333367</v>
      </c>
      <c r="E115" s="162">
        <f t="shared" si="17"/>
        <v>244160.83333333334</v>
      </c>
      <c r="F115" s="161">
        <f t="shared" si="18"/>
        <v>5127377.5000000037</v>
      </c>
      <c r="G115" s="161">
        <f t="shared" si="19"/>
        <v>5249457.9166666698</v>
      </c>
      <c r="H115" s="314">
        <f t="shared" si="12"/>
        <v>798306.46745923592</v>
      </c>
      <c r="I115" s="323">
        <f t="shared" si="20"/>
        <v>798306.46745923592</v>
      </c>
      <c r="J115" s="160">
        <f t="shared" si="13"/>
        <v>0</v>
      </c>
      <c r="K115" s="160"/>
      <c r="L115" s="316"/>
      <c r="M115" s="160">
        <f t="shared" si="14"/>
        <v>0</v>
      </c>
      <c r="N115" s="316"/>
      <c r="O115" s="160">
        <f t="shared" si="15"/>
        <v>0</v>
      </c>
      <c r="P115" s="160">
        <f t="shared" si="16"/>
        <v>0</v>
      </c>
    </row>
    <row r="116" spans="2:16">
      <c r="B116" t="str">
        <f t="shared" si="11"/>
        <v/>
      </c>
      <c r="C116" s="155">
        <f>IF(D94="","-",+C115+1)</f>
        <v>2032</v>
      </c>
      <c r="D116" s="156">
        <f>IF(F115+SUM(E$100:E115)=D$93,F115,D$93-SUM(E$100:E115))</f>
        <v>5127377.5000000037</v>
      </c>
      <c r="E116" s="162">
        <f t="shared" si="17"/>
        <v>244160.83333333334</v>
      </c>
      <c r="F116" s="161">
        <f t="shared" si="18"/>
        <v>4883216.6666666707</v>
      </c>
      <c r="G116" s="161">
        <f t="shared" si="19"/>
        <v>5005297.0833333377</v>
      </c>
      <c r="H116" s="314">
        <f t="shared" si="12"/>
        <v>772532.25191849633</v>
      </c>
      <c r="I116" s="323">
        <f t="shared" si="20"/>
        <v>772532.25191849633</v>
      </c>
      <c r="J116" s="160">
        <f t="shared" si="13"/>
        <v>0</v>
      </c>
      <c r="K116" s="160"/>
      <c r="L116" s="316"/>
      <c r="M116" s="160">
        <f t="shared" si="14"/>
        <v>0</v>
      </c>
      <c r="N116" s="316"/>
      <c r="O116" s="160">
        <f t="shared" si="15"/>
        <v>0</v>
      </c>
      <c r="P116" s="160">
        <f t="shared" si="16"/>
        <v>0</v>
      </c>
    </row>
    <row r="117" spans="2:16">
      <c r="B117" t="str">
        <f t="shared" si="11"/>
        <v/>
      </c>
      <c r="C117" s="155">
        <f>IF(D94="","-",+C116+1)</f>
        <v>2033</v>
      </c>
      <c r="D117" s="156">
        <f>IF(F116+SUM(E$100:E116)=D$93,F116,D$93-SUM(E$100:E116))</f>
        <v>4883216.666666666</v>
      </c>
      <c r="E117" s="162">
        <f t="shared" si="17"/>
        <v>244160.83333333334</v>
      </c>
      <c r="F117" s="161">
        <f t="shared" si="18"/>
        <v>4639055.833333333</v>
      </c>
      <c r="G117" s="161">
        <f t="shared" si="19"/>
        <v>4761136.25</v>
      </c>
      <c r="H117" s="314">
        <f t="shared" si="12"/>
        <v>746758.03637775627</v>
      </c>
      <c r="I117" s="323">
        <f t="shared" si="20"/>
        <v>746758.03637775627</v>
      </c>
      <c r="J117" s="160">
        <f t="shared" si="13"/>
        <v>0</v>
      </c>
      <c r="K117" s="160"/>
      <c r="L117" s="316"/>
      <c r="M117" s="160">
        <f t="shared" si="14"/>
        <v>0</v>
      </c>
      <c r="N117" s="316"/>
      <c r="O117" s="160">
        <f t="shared" si="15"/>
        <v>0</v>
      </c>
      <c r="P117" s="160">
        <f t="shared" si="16"/>
        <v>0</v>
      </c>
    </row>
    <row r="118" spans="2:16">
      <c r="B118" t="str">
        <f t="shared" si="11"/>
        <v/>
      </c>
      <c r="C118" s="155">
        <f>IF(D94="","-",+C117+1)</f>
        <v>2034</v>
      </c>
      <c r="D118" s="156">
        <f>IF(F117+SUM(E$100:E117)=D$93,F117,D$93-SUM(E$100:E117))</f>
        <v>4639055.833333333</v>
      </c>
      <c r="E118" s="162">
        <f t="shared" si="17"/>
        <v>244160.83333333334</v>
      </c>
      <c r="F118" s="161">
        <f t="shared" si="18"/>
        <v>4394895</v>
      </c>
      <c r="G118" s="161">
        <f t="shared" si="19"/>
        <v>4516975.416666666</v>
      </c>
      <c r="H118" s="314">
        <f t="shared" si="12"/>
        <v>720983.82083701657</v>
      </c>
      <c r="I118" s="323">
        <f t="shared" si="20"/>
        <v>720983.82083701657</v>
      </c>
      <c r="J118" s="160">
        <f t="shared" si="13"/>
        <v>0</v>
      </c>
      <c r="K118" s="160"/>
      <c r="L118" s="316"/>
      <c r="M118" s="160">
        <f t="shared" si="14"/>
        <v>0</v>
      </c>
      <c r="N118" s="316"/>
      <c r="O118" s="160">
        <f t="shared" si="15"/>
        <v>0</v>
      </c>
      <c r="P118" s="160">
        <f t="shared" si="16"/>
        <v>0</v>
      </c>
    </row>
    <row r="119" spans="2:16">
      <c r="B119" t="str">
        <f t="shared" si="11"/>
        <v/>
      </c>
      <c r="C119" s="155">
        <f>IF(D94="","-",+C118+1)</f>
        <v>2035</v>
      </c>
      <c r="D119" s="156">
        <f>IF(F118+SUM(E$100:E118)=D$93,F118,D$93-SUM(E$100:E118))</f>
        <v>4394895</v>
      </c>
      <c r="E119" s="162">
        <f t="shared" si="17"/>
        <v>244160.83333333334</v>
      </c>
      <c r="F119" s="161">
        <f t="shared" si="18"/>
        <v>4150734.1666666665</v>
      </c>
      <c r="G119" s="161">
        <f t="shared" si="19"/>
        <v>4272814.583333333</v>
      </c>
      <c r="H119" s="314">
        <f t="shared" si="12"/>
        <v>695209.60529627698</v>
      </c>
      <c r="I119" s="323">
        <f t="shared" si="20"/>
        <v>695209.60529627698</v>
      </c>
      <c r="J119" s="160">
        <f t="shared" si="13"/>
        <v>0</v>
      </c>
      <c r="K119" s="160"/>
      <c r="L119" s="316"/>
      <c r="M119" s="160">
        <f t="shared" si="14"/>
        <v>0</v>
      </c>
      <c r="N119" s="316"/>
      <c r="O119" s="160">
        <f t="shared" si="15"/>
        <v>0</v>
      </c>
      <c r="P119" s="160">
        <f t="shared" si="16"/>
        <v>0</v>
      </c>
    </row>
    <row r="120" spans="2:16">
      <c r="B120" t="str">
        <f t="shared" si="11"/>
        <v/>
      </c>
      <c r="C120" s="155">
        <f>IF(D94="","-",+C119+1)</f>
        <v>2036</v>
      </c>
      <c r="D120" s="156">
        <f>IF(F119+SUM(E$100:E119)=D$93,F119,D$93-SUM(E$100:E119))</f>
        <v>4150734.1666666665</v>
      </c>
      <c r="E120" s="162">
        <f t="shared" si="17"/>
        <v>244160.83333333334</v>
      </c>
      <c r="F120" s="161">
        <f t="shared" si="18"/>
        <v>3906573.333333333</v>
      </c>
      <c r="G120" s="161">
        <f t="shared" si="19"/>
        <v>4028653.75</v>
      </c>
      <c r="H120" s="314">
        <f t="shared" si="12"/>
        <v>669435.38975553738</v>
      </c>
      <c r="I120" s="323">
        <f t="shared" si="20"/>
        <v>669435.38975553738</v>
      </c>
      <c r="J120" s="160">
        <f t="shared" si="13"/>
        <v>0</v>
      </c>
      <c r="K120" s="160"/>
      <c r="L120" s="316"/>
      <c r="M120" s="160">
        <f t="shared" si="14"/>
        <v>0</v>
      </c>
      <c r="N120" s="316"/>
      <c r="O120" s="160">
        <f t="shared" si="15"/>
        <v>0</v>
      </c>
      <c r="P120" s="160">
        <f t="shared" si="16"/>
        <v>0</v>
      </c>
    </row>
    <row r="121" spans="2:16">
      <c r="B121" t="str">
        <f t="shared" si="11"/>
        <v/>
      </c>
      <c r="C121" s="155">
        <f>IF(D94="","-",+C120+1)</f>
        <v>2037</v>
      </c>
      <c r="D121" s="156">
        <f>IF(F120+SUM(E$100:E120)=D$93,F120,D$93-SUM(E$100:E120))</f>
        <v>3906573.333333333</v>
      </c>
      <c r="E121" s="162">
        <f t="shared" si="17"/>
        <v>244160.83333333334</v>
      </c>
      <c r="F121" s="161">
        <f t="shared" si="18"/>
        <v>3662412.4999999995</v>
      </c>
      <c r="G121" s="161">
        <f t="shared" si="19"/>
        <v>3784492.916666666</v>
      </c>
      <c r="H121" s="314">
        <f t="shared" si="12"/>
        <v>643661.17421479768</v>
      </c>
      <c r="I121" s="323">
        <f t="shared" si="20"/>
        <v>643661.17421479768</v>
      </c>
      <c r="J121" s="160">
        <f t="shared" si="13"/>
        <v>0</v>
      </c>
      <c r="K121" s="160"/>
      <c r="L121" s="316"/>
      <c r="M121" s="160">
        <f t="shared" si="14"/>
        <v>0</v>
      </c>
      <c r="N121" s="316"/>
      <c r="O121" s="160">
        <f t="shared" si="15"/>
        <v>0</v>
      </c>
      <c r="P121" s="160">
        <f t="shared" si="16"/>
        <v>0</v>
      </c>
    </row>
    <row r="122" spans="2:16">
      <c r="B122" t="str">
        <f t="shared" si="11"/>
        <v/>
      </c>
      <c r="C122" s="155">
        <f>IF(D94="","-",+C121+1)</f>
        <v>2038</v>
      </c>
      <c r="D122" s="156">
        <f>IF(F121+SUM(E$100:E121)=D$93,F121,D$93-SUM(E$100:E121))</f>
        <v>3662412.4999999995</v>
      </c>
      <c r="E122" s="162">
        <f t="shared" si="17"/>
        <v>244160.83333333334</v>
      </c>
      <c r="F122" s="161">
        <f t="shared" si="18"/>
        <v>3418251.666666666</v>
      </c>
      <c r="G122" s="161">
        <f t="shared" si="19"/>
        <v>3540332.083333333</v>
      </c>
      <c r="H122" s="314">
        <f t="shared" si="12"/>
        <v>617886.95867405809</v>
      </c>
      <c r="I122" s="323">
        <f t="shared" si="20"/>
        <v>617886.95867405809</v>
      </c>
      <c r="J122" s="160">
        <f t="shared" si="13"/>
        <v>0</v>
      </c>
      <c r="K122" s="160"/>
      <c r="L122" s="316"/>
      <c r="M122" s="160">
        <f t="shared" si="14"/>
        <v>0</v>
      </c>
      <c r="N122" s="316"/>
      <c r="O122" s="160">
        <f t="shared" si="15"/>
        <v>0</v>
      </c>
      <c r="P122" s="160">
        <f t="shared" si="16"/>
        <v>0</v>
      </c>
    </row>
    <row r="123" spans="2:16">
      <c r="B123" t="str">
        <f t="shared" si="11"/>
        <v/>
      </c>
      <c r="C123" s="155">
        <f>IF(D94="","-",+C122+1)</f>
        <v>2039</v>
      </c>
      <c r="D123" s="156">
        <f>IF(F122+SUM(E$100:E122)=D$93,F122,D$93-SUM(E$100:E122))</f>
        <v>3418251.666666666</v>
      </c>
      <c r="E123" s="162">
        <f t="shared" si="17"/>
        <v>244160.83333333334</v>
      </c>
      <c r="F123" s="161">
        <f t="shared" si="18"/>
        <v>3174090.8333333326</v>
      </c>
      <c r="G123" s="161">
        <f t="shared" si="19"/>
        <v>3296171.2499999991</v>
      </c>
      <c r="H123" s="314">
        <f t="shared" si="12"/>
        <v>592112.74313331838</v>
      </c>
      <c r="I123" s="323">
        <f t="shared" si="20"/>
        <v>592112.74313331838</v>
      </c>
      <c r="J123" s="160">
        <f t="shared" si="13"/>
        <v>0</v>
      </c>
      <c r="K123" s="160"/>
      <c r="L123" s="316"/>
      <c r="M123" s="160">
        <f t="shared" si="14"/>
        <v>0</v>
      </c>
      <c r="N123" s="316"/>
      <c r="O123" s="160">
        <f t="shared" si="15"/>
        <v>0</v>
      </c>
      <c r="P123" s="160">
        <f t="shared" si="16"/>
        <v>0</v>
      </c>
    </row>
    <row r="124" spans="2:16">
      <c r="B124" t="str">
        <f t="shared" si="11"/>
        <v/>
      </c>
      <c r="C124" s="155">
        <f>IF(D94="","-",+C123+1)</f>
        <v>2040</v>
      </c>
      <c r="D124" s="156">
        <f>IF(F123+SUM(E$100:E123)=D$93,F123,D$93-SUM(E$100:E123))</f>
        <v>3174090.8333333326</v>
      </c>
      <c r="E124" s="162">
        <f t="shared" si="17"/>
        <v>244160.83333333334</v>
      </c>
      <c r="F124" s="161">
        <f t="shared" si="18"/>
        <v>2929929.9999999991</v>
      </c>
      <c r="G124" s="161">
        <f t="shared" si="19"/>
        <v>3052010.416666666</v>
      </c>
      <c r="H124" s="314">
        <f t="shared" si="12"/>
        <v>566338.52759257867</v>
      </c>
      <c r="I124" s="323">
        <f t="shared" si="20"/>
        <v>566338.52759257867</v>
      </c>
      <c r="J124" s="160">
        <f t="shared" si="13"/>
        <v>0</v>
      </c>
      <c r="K124" s="160"/>
      <c r="L124" s="316"/>
      <c r="M124" s="160">
        <f t="shared" si="14"/>
        <v>0</v>
      </c>
      <c r="N124" s="316"/>
      <c r="O124" s="160">
        <f t="shared" si="15"/>
        <v>0</v>
      </c>
      <c r="P124" s="160">
        <f t="shared" si="16"/>
        <v>0</v>
      </c>
    </row>
    <row r="125" spans="2:16">
      <c r="B125" t="str">
        <f t="shared" si="11"/>
        <v/>
      </c>
      <c r="C125" s="155">
        <f>IF(D94="","-",+C124+1)</f>
        <v>2041</v>
      </c>
      <c r="D125" s="156">
        <f>IF(F124+SUM(E$100:E124)=D$93,F124,D$93-SUM(E$100:E124))</f>
        <v>2929929.9999999991</v>
      </c>
      <c r="E125" s="162">
        <f t="shared" si="17"/>
        <v>244160.83333333334</v>
      </c>
      <c r="F125" s="161">
        <f t="shared" si="18"/>
        <v>2685769.1666666656</v>
      </c>
      <c r="G125" s="161">
        <f t="shared" si="19"/>
        <v>2807849.5833333321</v>
      </c>
      <c r="H125" s="314">
        <f t="shared" si="12"/>
        <v>540564.31205183908</v>
      </c>
      <c r="I125" s="323">
        <f t="shared" si="20"/>
        <v>540564.31205183908</v>
      </c>
      <c r="J125" s="160">
        <f t="shared" si="13"/>
        <v>0</v>
      </c>
      <c r="K125" s="160"/>
      <c r="L125" s="316"/>
      <c r="M125" s="160">
        <f t="shared" si="14"/>
        <v>0</v>
      </c>
      <c r="N125" s="316"/>
      <c r="O125" s="160">
        <f t="shared" si="15"/>
        <v>0</v>
      </c>
      <c r="P125" s="160">
        <f t="shared" si="16"/>
        <v>0</v>
      </c>
    </row>
    <row r="126" spans="2:16">
      <c r="B126" t="str">
        <f t="shared" si="11"/>
        <v/>
      </c>
      <c r="C126" s="155">
        <f>IF(D94="","-",+C125+1)</f>
        <v>2042</v>
      </c>
      <c r="D126" s="156">
        <f>IF(F125+SUM(E$100:E125)=D$93,F125,D$93-SUM(E$100:E125))</f>
        <v>2685769.1666666656</v>
      </c>
      <c r="E126" s="162">
        <f t="shared" si="17"/>
        <v>244160.83333333334</v>
      </c>
      <c r="F126" s="161">
        <f t="shared" si="18"/>
        <v>2441608.3333333321</v>
      </c>
      <c r="G126" s="161">
        <f t="shared" si="19"/>
        <v>2563688.7499999991</v>
      </c>
      <c r="H126" s="314">
        <f t="shared" si="12"/>
        <v>514790.09651109937</v>
      </c>
      <c r="I126" s="323">
        <f t="shared" si="20"/>
        <v>514790.09651109937</v>
      </c>
      <c r="J126" s="160">
        <f t="shared" si="13"/>
        <v>0</v>
      </c>
      <c r="K126" s="160"/>
      <c r="L126" s="316"/>
      <c r="M126" s="160">
        <f t="shared" si="14"/>
        <v>0</v>
      </c>
      <c r="N126" s="316"/>
      <c r="O126" s="160">
        <f t="shared" si="15"/>
        <v>0</v>
      </c>
      <c r="P126" s="160">
        <f t="shared" si="16"/>
        <v>0</v>
      </c>
    </row>
    <row r="127" spans="2:16">
      <c r="B127" t="str">
        <f t="shared" si="11"/>
        <v/>
      </c>
      <c r="C127" s="155">
        <f>IF(D94="","-",+C126+1)</f>
        <v>2043</v>
      </c>
      <c r="D127" s="156">
        <f>IF(F126+SUM(E$100:E126)=D$93,F126,D$93-SUM(E$100:E126))</f>
        <v>2441608.3333333321</v>
      </c>
      <c r="E127" s="162">
        <f t="shared" si="17"/>
        <v>244160.83333333334</v>
      </c>
      <c r="F127" s="161">
        <f t="shared" si="18"/>
        <v>2197447.4999999986</v>
      </c>
      <c r="G127" s="161">
        <f t="shared" si="19"/>
        <v>2319527.9166666651</v>
      </c>
      <c r="H127" s="314">
        <f t="shared" si="12"/>
        <v>489015.88097035972</v>
      </c>
      <c r="I127" s="323">
        <f t="shared" si="20"/>
        <v>489015.88097035972</v>
      </c>
      <c r="J127" s="160">
        <f t="shared" si="13"/>
        <v>0</v>
      </c>
      <c r="K127" s="160"/>
      <c r="L127" s="316"/>
      <c r="M127" s="160">
        <f t="shared" si="14"/>
        <v>0</v>
      </c>
      <c r="N127" s="316"/>
      <c r="O127" s="160">
        <f t="shared" si="15"/>
        <v>0</v>
      </c>
      <c r="P127" s="160">
        <f t="shared" si="16"/>
        <v>0</v>
      </c>
    </row>
    <row r="128" spans="2:16">
      <c r="B128" t="str">
        <f t="shared" si="11"/>
        <v/>
      </c>
      <c r="C128" s="155">
        <f>IF(D94="","-",+C127+1)</f>
        <v>2044</v>
      </c>
      <c r="D128" s="156">
        <f>IF(F127+SUM(E$100:E127)=D$93,F127,D$93-SUM(E$100:E127))</f>
        <v>2197447.4999999986</v>
      </c>
      <c r="E128" s="162">
        <f t="shared" si="17"/>
        <v>244160.83333333334</v>
      </c>
      <c r="F128" s="161">
        <f t="shared" si="18"/>
        <v>1953286.6666666653</v>
      </c>
      <c r="G128" s="161">
        <f t="shared" si="19"/>
        <v>2075367.0833333321</v>
      </c>
      <c r="H128" s="314">
        <f t="shared" si="12"/>
        <v>463241.66542962007</v>
      </c>
      <c r="I128" s="323">
        <f t="shared" si="20"/>
        <v>463241.66542962007</v>
      </c>
      <c r="J128" s="160">
        <f t="shared" si="13"/>
        <v>0</v>
      </c>
      <c r="K128" s="160"/>
      <c r="L128" s="316"/>
      <c r="M128" s="160">
        <f t="shared" si="14"/>
        <v>0</v>
      </c>
      <c r="N128" s="316"/>
      <c r="O128" s="160">
        <f t="shared" si="15"/>
        <v>0</v>
      </c>
      <c r="P128" s="160">
        <f t="shared" si="16"/>
        <v>0</v>
      </c>
    </row>
    <row r="129" spans="2:16">
      <c r="B129" t="str">
        <f t="shared" si="11"/>
        <v/>
      </c>
      <c r="C129" s="155">
        <f>IF(D94="","-",+C128+1)</f>
        <v>2045</v>
      </c>
      <c r="D129" s="156">
        <f>IF(F128+SUM(E$100:E128)=D$93,F128,D$93-SUM(E$100:E128))</f>
        <v>1953286.6666666653</v>
      </c>
      <c r="E129" s="162">
        <f t="shared" si="17"/>
        <v>244160.83333333334</v>
      </c>
      <c r="F129" s="161">
        <f t="shared" si="18"/>
        <v>1709125.8333333321</v>
      </c>
      <c r="G129" s="161">
        <f t="shared" si="19"/>
        <v>1831206.2499999986</v>
      </c>
      <c r="H129" s="314">
        <f t="shared" si="12"/>
        <v>437467.44988888048</v>
      </c>
      <c r="I129" s="323">
        <f t="shared" si="20"/>
        <v>437467.44988888048</v>
      </c>
      <c r="J129" s="160">
        <f t="shared" si="13"/>
        <v>0</v>
      </c>
      <c r="K129" s="160"/>
      <c r="L129" s="316"/>
      <c r="M129" s="160">
        <f t="shared" si="14"/>
        <v>0</v>
      </c>
      <c r="N129" s="316"/>
      <c r="O129" s="160">
        <f t="shared" si="15"/>
        <v>0</v>
      </c>
      <c r="P129" s="160">
        <f t="shared" si="16"/>
        <v>0</v>
      </c>
    </row>
    <row r="130" spans="2:16">
      <c r="B130" t="str">
        <f t="shared" si="11"/>
        <v/>
      </c>
      <c r="C130" s="155">
        <f>IF(D94="","-",+C129+1)</f>
        <v>2046</v>
      </c>
      <c r="D130" s="156">
        <f>IF(F129+SUM(E$100:E129)=D$93,F129,D$93-SUM(E$100:E129))</f>
        <v>1709125.8333333321</v>
      </c>
      <c r="E130" s="162">
        <f t="shared" si="17"/>
        <v>244160.83333333334</v>
      </c>
      <c r="F130" s="161">
        <f t="shared" si="18"/>
        <v>1464964.9999999988</v>
      </c>
      <c r="G130" s="161">
        <f t="shared" si="19"/>
        <v>1587045.4166666656</v>
      </c>
      <c r="H130" s="314">
        <f t="shared" si="12"/>
        <v>411693.23434814089</v>
      </c>
      <c r="I130" s="323">
        <f t="shared" si="20"/>
        <v>411693.23434814089</v>
      </c>
      <c r="J130" s="160">
        <f t="shared" si="13"/>
        <v>0</v>
      </c>
      <c r="K130" s="160"/>
      <c r="L130" s="316"/>
      <c r="M130" s="160">
        <f t="shared" si="14"/>
        <v>0</v>
      </c>
      <c r="N130" s="316"/>
      <c r="O130" s="160">
        <f t="shared" si="15"/>
        <v>0</v>
      </c>
      <c r="P130" s="160">
        <f t="shared" si="16"/>
        <v>0</v>
      </c>
    </row>
    <row r="131" spans="2:16">
      <c r="B131" t="str">
        <f t="shared" si="11"/>
        <v/>
      </c>
      <c r="C131" s="155">
        <f>IF(D94="","-",+C130+1)</f>
        <v>2047</v>
      </c>
      <c r="D131" s="156">
        <f>IF(F130+SUM(E$100:E130)=D$93,F130,D$93-SUM(E$100:E130))</f>
        <v>1464964.9999999988</v>
      </c>
      <c r="E131" s="162">
        <f t="shared" si="17"/>
        <v>244160.83333333334</v>
      </c>
      <c r="F131" s="161">
        <f t="shared" si="18"/>
        <v>1220804.1666666656</v>
      </c>
      <c r="G131" s="161">
        <f t="shared" si="19"/>
        <v>1342884.5833333321</v>
      </c>
      <c r="H131" s="314">
        <f t="shared" si="12"/>
        <v>385919.01880740118</v>
      </c>
      <c r="I131" s="323">
        <f t="shared" si="20"/>
        <v>385919.01880740118</v>
      </c>
      <c r="J131" s="160">
        <f t="shared" si="13"/>
        <v>0</v>
      </c>
      <c r="K131" s="160"/>
      <c r="L131" s="316"/>
      <c r="M131" s="160">
        <f t="shared" si="14"/>
        <v>0</v>
      </c>
      <c r="N131" s="316"/>
      <c r="O131" s="160">
        <f t="shared" si="15"/>
        <v>0</v>
      </c>
      <c r="P131" s="160">
        <f t="shared" si="16"/>
        <v>0</v>
      </c>
    </row>
    <row r="132" spans="2:16">
      <c r="B132" t="str">
        <f t="shared" si="11"/>
        <v/>
      </c>
      <c r="C132" s="155">
        <f>IF(D94="","-",+C131+1)</f>
        <v>2048</v>
      </c>
      <c r="D132" s="156">
        <f>IF(F131+SUM(E$100:E131)=D$93,F131,D$93-SUM(E$100:E131))</f>
        <v>1220804.1666666656</v>
      </c>
      <c r="E132" s="162">
        <f t="shared" si="17"/>
        <v>244160.83333333334</v>
      </c>
      <c r="F132" s="161">
        <f t="shared" si="18"/>
        <v>976643.33333333221</v>
      </c>
      <c r="G132" s="161">
        <f t="shared" si="19"/>
        <v>1098723.7499999988</v>
      </c>
      <c r="H132" s="314">
        <f t="shared" si="12"/>
        <v>360144.80326666159</v>
      </c>
      <c r="I132" s="323">
        <f t="shared" si="20"/>
        <v>360144.80326666159</v>
      </c>
      <c r="J132" s="160">
        <f t="shared" ref="J132:J155" si="21">+I542-H542</f>
        <v>0</v>
      </c>
      <c r="K132" s="160"/>
      <c r="L132" s="316"/>
      <c r="M132" s="160">
        <f t="shared" ref="M132:M155" si="22">IF(L542&lt;&gt;0,+H542-L542,0)</f>
        <v>0</v>
      </c>
      <c r="N132" s="316"/>
      <c r="O132" s="160">
        <f t="shared" ref="O132:O155" si="23">IF(N542&lt;&gt;0,+I542-N542,0)</f>
        <v>0</v>
      </c>
      <c r="P132" s="160">
        <f t="shared" ref="P132:P155" si="24">+O542-M542</f>
        <v>0</v>
      </c>
    </row>
    <row r="133" spans="2:16">
      <c r="B133" t="str">
        <f t="shared" si="11"/>
        <v/>
      </c>
      <c r="C133" s="155">
        <f>IF(D94="","-",+C132+1)</f>
        <v>2049</v>
      </c>
      <c r="D133" s="156">
        <f>IF(F132+SUM(E$100:E132)=D$93,F132,D$93-SUM(E$100:E132))</f>
        <v>976643.33333333221</v>
      </c>
      <c r="E133" s="162">
        <f t="shared" si="17"/>
        <v>244160.83333333334</v>
      </c>
      <c r="F133" s="161">
        <f t="shared" si="18"/>
        <v>732482.49999999884</v>
      </c>
      <c r="G133" s="161">
        <f t="shared" si="19"/>
        <v>854562.91666666558</v>
      </c>
      <c r="H133" s="314">
        <f t="shared" si="12"/>
        <v>334370.58772592194</v>
      </c>
      <c r="I133" s="323">
        <f t="shared" si="20"/>
        <v>334370.58772592194</v>
      </c>
      <c r="J133" s="160">
        <f t="shared" si="21"/>
        <v>0</v>
      </c>
      <c r="K133" s="160"/>
      <c r="L133" s="316"/>
      <c r="M133" s="160">
        <f t="shared" si="22"/>
        <v>0</v>
      </c>
      <c r="N133" s="316"/>
      <c r="O133" s="160">
        <f t="shared" si="23"/>
        <v>0</v>
      </c>
      <c r="P133" s="160">
        <f t="shared" si="24"/>
        <v>0</v>
      </c>
    </row>
    <row r="134" spans="2:16">
      <c r="B134" t="str">
        <f t="shared" si="11"/>
        <v>IU</v>
      </c>
      <c r="C134" s="155">
        <f>IF(D94="","-",+C133+1)</f>
        <v>2050</v>
      </c>
      <c r="D134" s="156">
        <f>IF(F133+SUM(E$100:E133)=D$93,F133,D$93-SUM(E$100:E133))</f>
        <v>732482.50000000373</v>
      </c>
      <c r="E134" s="162">
        <f t="shared" si="17"/>
        <v>244160.83333333334</v>
      </c>
      <c r="F134" s="161">
        <f t="shared" si="18"/>
        <v>488321.66666667035</v>
      </c>
      <c r="G134" s="161">
        <f t="shared" si="19"/>
        <v>610402.08333333698</v>
      </c>
      <c r="H134" s="314">
        <f t="shared" si="12"/>
        <v>308596.37218518282</v>
      </c>
      <c r="I134" s="323">
        <f t="shared" si="20"/>
        <v>308596.37218518282</v>
      </c>
      <c r="J134" s="160">
        <f t="shared" si="21"/>
        <v>0</v>
      </c>
      <c r="K134" s="160"/>
      <c r="L134" s="316"/>
      <c r="M134" s="160">
        <f t="shared" si="22"/>
        <v>0</v>
      </c>
      <c r="N134" s="316"/>
      <c r="O134" s="160">
        <f t="shared" si="23"/>
        <v>0</v>
      </c>
      <c r="P134" s="160">
        <f t="shared" si="24"/>
        <v>0</v>
      </c>
    </row>
    <row r="135" spans="2:16">
      <c r="B135" t="str">
        <f t="shared" si="11"/>
        <v/>
      </c>
      <c r="C135" s="155">
        <f>IF(D94="","-",+C134+1)</f>
        <v>2051</v>
      </c>
      <c r="D135" s="156">
        <f>IF(F134+SUM(E$100:E134)=D$93,F134,D$93-SUM(E$100:E134))</f>
        <v>488321.66666667035</v>
      </c>
      <c r="E135" s="162">
        <f t="shared" si="17"/>
        <v>244160.83333333334</v>
      </c>
      <c r="F135" s="161">
        <f t="shared" si="18"/>
        <v>244160.83333333701</v>
      </c>
      <c r="G135" s="161">
        <f t="shared" si="19"/>
        <v>366241.25000000367</v>
      </c>
      <c r="H135" s="314">
        <f t="shared" si="12"/>
        <v>282822.15664444317</v>
      </c>
      <c r="I135" s="323">
        <f t="shared" si="20"/>
        <v>282822.15664444317</v>
      </c>
      <c r="J135" s="160">
        <f t="shared" si="21"/>
        <v>0</v>
      </c>
      <c r="K135" s="160"/>
      <c r="L135" s="316"/>
      <c r="M135" s="160">
        <f t="shared" si="22"/>
        <v>0</v>
      </c>
      <c r="N135" s="316"/>
      <c r="O135" s="160">
        <f t="shared" si="23"/>
        <v>0</v>
      </c>
      <c r="P135" s="160">
        <f t="shared" si="24"/>
        <v>0</v>
      </c>
    </row>
    <row r="136" spans="2:16">
      <c r="B136" t="str">
        <f t="shared" si="11"/>
        <v/>
      </c>
      <c r="C136" s="155">
        <f>IF(D94="","-",+C135+1)</f>
        <v>2052</v>
      </c>
      <c r="D136" s="156">
        <f>IF(F135+SUM(E$100:E135)=D$93,F135,D$93-SUM(E$100:E135))</f>
        <v>244160.83333333701</v>
      </c>
      <c r="E136" s="162">
        <f t="shared" si="17"/>
        <v>244160.83333333334</v>
      </c>
      <c r="F136" s="161">
        <f t="shared" si="18"/>
        <v>3.6670826375484467E-9</v>
      </c>
      <c r="G136" s="161">
        <f t="shared" si="19"/>
        <v>122080.41666667034</v>
      </c>
      <c r="H136" s="314">
        <f t="shared" si="12"/>
        <v>257047.94110370355</v>
      </c>
      <c r="I136" s="323">
        <f t="shared" si="20"/>
        <v>257047.94110370355</v>
      </c>
      <c r="J136" s="160">
        <f t="shared" si="21"/>
        <v>0</v>
      </c>
      <c r="K136" s="160"/>
      <c r="L136" s="316"/>
      <c r="M136" s="160">
        <f t="shared" si="22"/>
        <v>0</v>
      </c>
      <c r="N136" s="316"/>
      <c r="O136" s="160">
        <f t="shared" si="23"/>
        <v>0</v>
      </c>
      <c r="P136" s="160">
        <f t="shared" si="24"/>
        <v>0</v>
      </c>
    </row>
    <row r="137" spans="2:16">
      <c r="B137" t="str">
        <f t="shared" si="11"/>
        <v/>
      </c>
      <c r="C137" s="155">
        <f>IF(D94="","-",+C136+1)</f>
        <v>2053</v>
      </c>
      <c r="D137" s="156">
        <f>IF(F136+SUM(E$100:E136)=D$93,F136,D$93-SUM(E$100:E136))</f>
        <v>3.6670826375484467E-9</v>
      </c>
      <c r="E137" s="162">
        <f t="shared" si="17"/>
        <v>3.6670826375484467E-9</v>
      </c>
      <c r="F137" s="161">
        <f t="shared" si="18"/>
        <v>0</v>
      </c>
      <c r="G137" s="161">
        <f t="shared" si="19"/>
        <v>1.8335413187742233E-9</v>
      </c>
      <c r="H137" s="314">
        <f t="shared" si="12"/>
        <v>3.8606357496826161E-9</v>
      </c>
      <c r="I137" s="323">
        <f t="shared" si="20"/>
        <v>3.8606357496826161E-9</v>
      </c>
      <c r="J137" s="160">
        <f t="shared" si="21"/>
        <v>0</v>
      </c>
      <c r="K137" s="160"/>
      <c r="L137" s="316"/>
      <c r="M137" s="160">
        <f t="shared" si="22"/>
        <v>0</v>
      </c>
      <c r="N137" s="316"/>
      <c r="O137" s="160">
        <f t="shared" si="23"/>
        <v>0</v>
      </c>
      <c r="P137" s="160">
        <f t="shared" si="24"/>
        <v>0</v>
      </c>
    </row>
    <row r="138" spans="2:16">
      <c r="B138" t="str">
        <f t="shared" si="11"/>
        <v/>
      </c>
      <c r="C138" s="155">
        <f>IF(D94="","-",+C137+1)</f>
        <v>2054</v>
      </c>
      <c r="D138" s="156">
        <f>IF(F137+SUM(E$100:E137)=D$93,F137,D$93-SUM(E$100:E137))</f>
        <v>0</v>
      </c>
      <c r="E138" s="162">
        <f t="shared" si="17"/>
        <v>0</v>
      </c>
      <c r="F138" s="161">
        <f t="shared" si="18"/>
        <v>0</v>
      </c>
      <c r="G138" s="161">
        <f t="shared" si="19"/>
        <v>0</v>
      </c>
      <c r="H138" s="314">
        <f t="shared" si="12"/>
        <v>0</v>
      </c>
      <c r="I138" s="323">
        <f t="shared" si="20"/>
        <v>0</v>
      </c>
      <c r="J138" s="160">
        <f t="shared" si="21"/>
        <v>0</v>
      </c>
      <c r="K138" s="160"/>
      <c r="L138" s="316"/>
      <c r="M138" s="160">
        <f t="shared" si="22"/>
        <v>0</v>
      </c>
      <c r="N138" s="316"/>
      <c r="O138" s="160">
        <f t="shared" si="23"/>
        <v>0</v>
      </c>
      <c r="P138" s="160">
        <f t="shared" si="24"/>
        <v>0</v>
      </c>
    </row>
    <row r="139" spans="2:16">
      <c r="B139" t="str">
        <f t="shared" si="11"/>
        <v/>
      </c>
      <c r="C139" s="155">
        <f>IF(D94="","-",+C138+1)</f>
        <v>2055</v>
      </c>
      <c r="D139" s="156">
        <f>IF(F138+SUM(E$100:E138)=D$93,F138,D$93-SUM(E$100:E138))</f>
        <v>0</v>
      </c>
      <c r="E139" s="162">
        <f t="shared" si="17"/>
        <v>0</v>
      </c>
      <c r="F139" s="161">
        <f t="shared" si="18"/>
        <v>0</v>
      </c>
      <c r="G139" s="161">
        <f t="shared" si="19"/>
        <v>0</v>
      </c>
      <c r="H139" s="314">
        <f t="shared" si="12"/>
        <v>0</v>
      </c>
      <c r="I139" s="323">
        <f t="shared" si="20"/>
        <v>0</v>
      </c>
      <c r="J139" s="160">
        <f t="shared" si="21"/>
        <v>0</v>
      </c>
      <c r="K139" s="160"/>
      <c r="L139" s="316"/>
      <c r="M139" s="160">
        <f t="shared" si="22"/>
        <v>0</v>
      </c>
      <c r="N139" s="316"/>
      <c r="O139" s="160">
        <f t="shared" si="23"/>
        <v>0</v>
      </c>
      <c r="P139" s="160">
        <f t="shared" si="24"/>
        <v>0</v>
      </c>
    </row>
    <row r="140" spans="2:16">
      <c r="B140" t="str">
        <f t="shared" si="11"/>
        <v/>
      </c>
      <c r="C140" s="155">
        <f>IF(D94="","-",+C139+1)</f>
        <v>2056</v>
      </c>
      <c r="D140" s="156">
        <f>IF(F139+SUM(E$100:E139)=D$93,F139,D$93-SUM(E$100:E139))</f>
        <v>0</v>
      </c>
      <c r="E140" s="162">
        <f t="shared" si="17"/>
        <v>0</v>
      </c>
      <c r="F140" s="161">
        <f t="shared" si="18"/>
        <v>0</v>
      </c>
      <c r="G140" s="161">
        <f t="shared" si="19"/>
        <v>0</v>
      </c>
      <c r="H140" s="314">
        <f t="shared" si="12"/>
        <v>0</v>
      </c>
      <c r="I140" s="323">
        <f t="shared" si="20"/>
        <v>0</v>
      </c>
      <c r="J140" s="160">
        <f t="shared" si="21"/>
        <v>0</v>
      </c>
      <c r="K140" s="160"/>
      <c r="L140" s="316"/>
      <c r="M140" s="160">
        <f t="shared" si="22"/>
        <v>0</v>
      </c>
      <c r="N140" s="316"/>
      <c r="O140" s="160">
        <f t="shared" si="23"/>
        <v>0</v>
      </c>
      <c r="P140" s="160">
        <f t="shared" si="24"/>
        <v>0</v>
      </c>
    </row>
    <row r="141" spans="2:16">
      <c r="B141" t="str">
        <f t="shared" si="11"/>
        <v/>
      </c>
      <c r="C141" s="155">
        <f>IF(D94="","-",+C140+1)</f>
        <v>2057</v>
      </c>
      <c r="D141" s="156">
        <f>IF(F140+SUM(E$100:E140)=D$93,F140,D$93-SUM(E$100:E140))</f>
        <v>0</v>
      </c>
      <c r="E141" s="162">
        <f t="shared" si="17"/>
        <v>0</v>
      </c>
      <c r="F141" s="161">
        <f t="shared" si="18"/>
        <v>0</v>
      </c>
      <c r="G141" s="161">
        <f t="shared" si="19"/>
        <v>0</v>
      </c>
      <c r="H141" s="314">
        <f t="shared" si="12"/>
        <v>0</v>
      </c>
      <c r="I141" s="323">
        <f t="shared" si="20"/>
        <v>0</v>
      </c>
      <c r="J141" s="160">
        <f t="shared" si="21"/>
        <v>0</v>
      </c>
      <c r="K141" s="160"/>
      <c r="L141" s="316"/>
      <c r="M141" s="160">
        <f t="shared" si="22"/>
        <v>0</v>
      </c>
      <c r="N141" s="316"/>
      <c r="O141" s="160">
        <f t="shared" si="23"/>
        <v>0</v>
      </c>
      <c r="P141" s="160">
        <f t="shared" si="24"/>
        <v>0</v>
      </c>
    </row>
    <row r="142" spans="2:16">
      <c r="B142" t="str">
        <f t="shared" si="11"/>
        <v/>
      </c>
      <c r="C142" s="155">
        <f>IF(D94="","-",+C141+1)</f>
        <v>2058</v>
      </c>
      <c r="D142" s="156">
        <f>IF(F141+SUM(E$100:E141)=D$93,F141,D$93-SUM(E$100:E141))</f>
        <v>0</v>
      </c>
      <c r="E142" s="162">
        <f t="shared" si="17"/>
        <v>0</v>
      </c>
      <c r="F142" s="161">
        <f t="shared" si="18"/>
        <v>0</v>
      </c>
      <c r="G142" s="161">
        <f t="shared" si="19"/>
        <v>0</v>
      </c>
      <c r="H142" s="314">
        <f t="shared" si="12"/>
        <v>0</v>
      </c>
      <c r="I142" s="323">
        <f t="shared" si="20"/>
        <v>0</v>
      </c>
      <c r="J142" s="160">
        <f t="shared" si="21"/>
        <v>0</v>
      </c>
      <c r="K142" s="160"/>
      <c r="L142" s="316"/>
      <c r="M142" s="160">
        <f t="shared" si="22"/>
        <v>0</v>
      </c>
      <c r="N142" s="316"/>
      <c r="O142" s="160">
        <f t="shared" si="23"/>
        <v>0</v>
      </c>
      <c r="P142" s="160">
        <f t="shared" si="24"/>
        <v>0</v>
      </c>
    </row>
    <row r="143" spans="2:16">
      <c r="B143" t="str">
        <f t="shared" si="11"/>
        <v/>
      </c>
      <c r="C143" s="155">
        <f>IF(D94="","-",+C142+1)</f>
        <v>2059</v>
      </c>
      <c r="D143" s="156">
        <f>IF(F142+SUM(E$100:E142)=D$93,F142,D$93-SUM(E$100:E142))</f>
        <v>0</v>
      </c>
      <c r="E143" s="162">
        <f t="shared" si="17"/>
        <v>0</v>
      </c>
      <c r="F143" s="161">
        <f t="shared" si="18"/>
        <v>0</v>
      </c>
      <c r="G143" s="161">
        <f t="shared" si="19"/>
        <v>0</v>
      </c>
      <c r="H143" s="314">
        <f t="shared" si="12"/>
        <v>0</v>
      </c>
      <c r="I143" s="323">
        <f t="shared" si="20"/>
        <v>0</v>
      </c>
      <c r="J143" s="160">
        <f t="shared" si="21"/>
        <v>0</v>
      </c>
      <c r="K143" s="160"/>
      <c r="L143" s="316"/>
      <c r="M143" s="160">
        <f t="shared" si="22"/>
        <v>0</v>
      </c>
      <c r="N143" s="316"/>
      <c r="O143" s="160">
        <f t="shared" si="23"/>
        <v>0</v>
      </c>
      <c r="P143" s="160">
        <f t="shared" si="24"/>
        <v>0</v>
      </c>
    </row>
    <row r="144" spans="2:16">
      <c r="B144" t="str">
        <f t="shared" si="11"/>
        <v/>
      </c>
      <c r="C144" s="155">
        <f>IF(D94="","-",+C143+1)</f>
        <v>2060</v>
      </c>
      <c r="D144" s="156">
        <f>IF(F143+SUM(E$100:E143)=D$93,F143,D$93-SUM(E$100:E143))</f>
        <v>0</v>
      </c>
      <c r="E144" s="162">
        <f t="shared" si="17"/>
        <v>0</v>
      </c>
      <c r="F144" s="161">
        <f t="shared" si="18"/>
        <v>0</v>
      </c>
      <c r="G144" s="161">
        <f t="shared" si="19"/>
        <v>0</v>
      </c>
      <c r="H144" s="314">
        <f t="shared" si="12"/>
        <v>0</v>
      </c>
      <c r="I144" s="323">
        <f t="shared" si="20"/>
        <v>0</v>
      </c>
      <c r="J144" s="160">
        <f t="shared" si="21"/>
        <v>0</v>
      </c>
      <c r="K144" s="160"/>
      <c r="L144" s="316"/>
      <c r="M144" s="160">
        <f t="shared" si="22"/>
        <v>0</v>
      </c>
      <c r="N144" s="316"/>
      <c r="O144" s="160">
        <f t="shared" si="23"/>
        <v>0</v>
      </c>
      <c r="P144" s="160">
        <f t="shared" si="24"/>
        <v>0</v>
      </c>
    </row>
    <row r="145" spans="2:16">
      <c r="B145" t="str">
        <f t="shared" si="11"/>
        <v/>
      </c>
      <c r="C145" s="155">
        <f>IF(D94="","-",+C144+1)</f>
        <v>2061</v>
      </c>
      <c r="D145" s="156">
        <f>IF(F144+SUM(E$100:E144)=D$93,F144,D$93-SUM(E$100:E144))</f>
        <v>0</v>
      </c>
      <c r="E145" s="162">
        <f t="shared" si="17"/>
        <v>0</v>
      </c>
      <c r="F145" s="161">
        <f t="shared" si="18"/>
        <v>0</v>
      </c>
      <c r="G145" s="161">
        <f t="shared" si="19"/>
        <v>0</v>
      </c>
      <c r="H145" s="314">
        <f t="shared" si="12"/>
        <v>0</v>
      </c>
      <c r="I145" s="323">
        <f t="shared" si="20"/>
        <v>0</v>
      </c>
      <c r="J145" s="160">
        <f t="shared" si="21"/>
        <v>0</v>
      </c>
      <c r="K145" s="160"/>
      <c r="L145" s="316"/>
      <c r="M145" s="160">
        <f t="shared" si="22"/>
        <v>0</v>
      </c>
      <c r="N145" s="316"/>
      <c r="O145" s="160">
        <f t="shared" si="23"/>
        <v>0</v>
      </c>
      <c r="P145" s="160">
        <f t="shared" si="24"/>
        <v>0</v>
      </c>
    </row>
    <row r="146" spans="2:16">
      <c r="B146" t="str">
        <f t="shared" si="11"/>
        <v/>
      </c>
      <c r="C146" s="155">
        <f>IF(D94="","-",+C145+1)</f>
        <v>2062</v>
      </c>
      <c r="D146" s="156">
        <f>IF(F145+SUM(E$100:E145)=D$93,F145,D$93-SUM(E$100:E145))</f>
        <v>0</v>
      </c>
      <c r="E146" s="162">
        <f t="shared" si="17"/>
        <v>0</v>
      </c>
      <c r="F146" s="161">
        <f t="shared" si="18"/>
        <v>0</v>
      </c>
      <c r="G146" s="161">
        <f t="shared" si="19"/>
        <v>0</v>
      </c>
      <c r="H146" s="314">
        <f t="shared" si="12"/>
        <v>0</v>
      </c>
      <c r="I146" s="323">
        <f t="shared" si="20"/>
        <v>0</v>
      </c>
      <c r="J146" s="160">
        <f t="shared" si="21"/>
        <v>0</v>
      </c>
      <c r="K146" s="160"/>
      <c r="L146" s="316"/>
      <c r="M146" s="160">
        <f t="shared" si="22"/>
        <v>0</v>
      </c>
      <c r="N146" s="316"/>
      <c r="O146" s="160">
        <f t="shared" si="23"/>
        <v>0</v>
      </c>
      <c r="P146" s="160">
        <f t="shared" si="24"/>
        <v>0</v>
      </c>
    </row>
    <row r="147" spans="2:16">
      <c r="B147" t="str">
        <f t="shared" si="11"/>
        <v/>
      </c>
      <c r="C147" s="155">
        <f>IF(D94="","-",+C146+1)</f>
        <v>2063</v>
      </c>
      <c r="D147" s="156">
        <f>IF(F146+SUM(E$100:E146)=D$93,F146,D$93-SUM(E$100:E146))</f>
        <v>0</v>
      </c>
      <c r="E147" s="162">
        <f t="shared" si="17"/>
        <v>0</v>
      </c>
      <c r="F147" s="161">
        <f t="shared" si="18"/>
        <v>0</v>
      </c>
      <c r="G147" s="161">
        <f t="shared" si="19"/>
        <v>0</v>
      </c>
      <c r="H147" s="314">
        <f t="shared" si="12"/>
        <v>0</v>
      </c>
      <c r="I147" s="323">
        <f t="shared" si="20"/>
        <v>0</v>
      </c>
      <c r="J147" s="160">
        <f t="shared" si="21"/>
        <v>0</v>
      </c>
      <c r="K147" s="160"/>
      <c r="L147" s="316"/>
      <c r="M147" s="160">
        <f t="shared" si="22"/>
        <v>0</v>
      </c>
      <c r="N147" s="316"/>
      <c r="O147" s="160">
        <f t="shared" si="23"/>
        <v>0</v>
      </c>
      <c r="P147" s="160">
        <f t="shared" si="24"/>
        <v>0</v>
      </c>
    </row>
    <row r="148" spans="2:16">
      <c r="B148" t="str">
        <f t="shared" si="11"/>
        <v/>
      </c>
      <c r="C148" s="155">
        <f>IF(D94="","-",+C147+1)</f>
        <v>2064</v>
      </c>
      <c r="D148" s="156">
        <f>IF(F147+SUM(E$100:E147)=D$93,F147,D$93-SUM(E$100:E147))</f>
        <v>0</v>
      </c>
      <c r="E148" s="162">
        <f t="shared" si="17"/>
        <v>0</v>
      </c>
      <c r="F148" s="161">
        <f t="shared" si="18"/>
        <v>0</v>
      </c>
      <c r="G148" s="161">
        <f t="shared" si="19"/>
        <v>0</v>
      </c>
      <c r="H148" s="314">
        <f t="shared" si="12"/>
        <v>0</v>
      </c>
      <c r="I148" s="323">
        <f t="shared" si="20"/>
        <v>0</v>
      </c>
      <c r="J148" s="160">
        <f t="shared" si="21"/>
        <v>0</v>
      </c>
      <c r="K148" s="160"/>
      <c r="L148" s="316"/>
      <c r="M148" s="160">
        <f t="shared" si="22"/>
        <v>0</v>
      </c>
      <c r="N148" s="316"/>
      <c r="O148" s="160">
        <f t="shared" si="23"/>
        <v>0</v>
      </c>
      <c r="P148" s="160">
        <f t="shared" si="24"/>
        <v>0</v>
      </c>
    </row>
    <row r="149" spans="2:16">
      <c r="B149" t="str">
        <f t="shared" si="11"/>
        <v/>
      </c>
      <c r="C149" s="155">
        <f>IF(D94="","-",+C148+1)</f>
        <v>2065</v>
      </c>
      <c r="D149" s="156">
        <f>IF(F148+SUM(E$100:E148)=D$93,F148,D$93-SUM(E$100:E148))</f>
        <v>0</v>
      </c>
      <c r="E149" s="162">
        <f t="shared" si="17"/>
        <v>0</v>
      </c>
      <c r="F149" s="161">
        <f t="shared" si="18"/>
        <v>0</v>
      </c>
      <c r="G149" s="161">
        <f t="shared" si="19"/>
        <v>0</v>
      </c>
      <c r="H149" s="314">
        <f t="shared" si="12"/>
        <v>0</v>
      </c>
      <c r="I149" s="323">
        <f t="shared" si="20"/>
        <v>0</v>
      </c>
      <c r="J149" s="160">
        <f t="shared" si="21"/>
        <v>0</v>
      </c>
      <c r="K149" s="160"/>
      <c r="L149" s="316"/>
      <c r="M149" s="160">
        <f t="shared" si="22"/>
        <v>0</v>
      </c>
      <c r="N149" s="316"/>
      <c r="O149" s="160">
        <f t="shared" si="23"/>
        <v>0</v>
      </c>
      <c r="P149" s="160">
        <f t="shared" si="24"/>
        <v>0</v>
      </c>
    </row>
    <row r="150" spans="2:16">
      <c r="B150" t="str">
        <f t="shared" si="11"/>
        <v/>
      </c>
      <c r="C150" s="155">
        <f>IF(D94="","-",+C149+1)</f>
        <v>2066</v>
      </c>
      <c r="D150" s="156">
        <f>IF(F149+SUM(E$100:E149)=D$93,F149,D$93-SUM(E$100:E149))</f>
        <v>0</v>
      </c>
      <c r="E150" s="162">
        <f t="shared" si="17"/>
        <v>0</v>
      </c>
      <c r="F150" s="161">
        <f t="shared" si="18"/>
        <v>0</v>
      </c>
      <c r="G150" s="161">
        <f t="shared" si="19"/>
        <v>0</v>
      </c>
      <c r="H150" s="314">
        <f t="shared" si="12"/>
        <v>0</v>
      </c>
      <c r="I150" s="323">
        <f t="shared" si="20"/>
        <v>0</v>
      </c>
      <c r="J150" s="160">
        <f t="shared" si="21"/>
        <v>0</v>
      </c>
      <c r="K150" s="160"/>
      <c r="L150" s="316"/>
      <c r="M150" s="160">
        <f t="shared" si="22"/>
        <v>0</v>
      </c>
      <c r="N150" s="316"/>
      <c r="O150" s="160">
        <f t="shared" si="23"/>
        <v>0</v>
      </c>
      <c r="P150" s="160">
        <f t="shared" si="24"/>
        <v>0</v>
      </c>
    </row>
    <row r="151" spans="2:16">
      <c r="B151" t="str">
        <f t="shared" si="11"/>
        <v/>
      </c>
      <c r="C151" s="155">
        <f>IF(D94="","-",+C150+1)</f>
        <v>2067</v>
      </c>
      <c r="D151" s="156">
        <f>IF(F150+SUM(E$100:E150)=D$93,F150,D$93-SUM(E$100:E150))</f>
        <v>0</v>
      </c>
      <c r="E151" s="162">
        <f t="shared" si="17"/>
        <v>0</v>
      </c>
      <c r="F151" s="161">
        <f t="shared" si="18"/>
        <v>0</v>
      </c>
      <c r="G151" s="161">
        <f t="shared" si="19"/>
        <v>0</v>
      </c>
      <c r="H151" s="314">
        <f t="shared" si="12"/>
        <v>0</v>
      </c>
      <c r="I151" s="323">
        <f t="shared" si="20"/>
        <v>0</v>
      </c>
      <c r="J151" s="160">
        <f t="shared" si="21"/>
        <v>0</v>
      </c>
      <c r="K151" s="160"/>
      <c r="L151" s="316"/>
      <c r="M151" s="160">
        <f t="shared" si="22"/>
        <v>0</v>
      </c>
      <c r="N151" s="316"/>
      <c r="O151" s="160">
        <f t="shared" si="23"/>
        <v>0</v>
      </c>
      <c r="P151" s="160">
        <f t="shared" si="24"/>
        <v>0</v>
      </c>
    </row>
    <row r="152" spans="2:16">
      <c r="B152" t="str">
        <f t="shared" si="11"/>
        <v/>
      </c>
      <c r="C152" s="155">
        <f>IF(D94="","-",+C151+1)</f>
        <v>2068</v>
      </c>
      <c r="D152" s="156">
        <f>IF(F151+SUM(E$100:E151)=D$93,F151,D$93-SUM(E$100:E151))</f>
        <v>0</v>
      </c>
      <c r="E152" s="162">
        <f t="shared" si="17"/>
        <v>0</v>
      </c>
      <c r="F152" s="161">
        <f t="shared" si="18"/>
        <v>0</v>
      </c>
      <c r="G152" s="161">
        <f t="shared" si="19"/>
        <v>0</v>
      </c>
      <c r="H152" s="314">
        <f t="shared" si="12"/>
        <v>0</v>
      </c>
      <c r="I152" s="323">
        <f t="shared" si="20"/>
        <v>0</v>
      </c>
      <c r="J152" s="160">
        <f t="shared" si="21"/>
        <v>0</v>
      </c>
      <c r="K152" s="160"/>
      <c r="L152" s="316"/>
      <c r="M152" s="160">
        <f t="shared" si="22"/>
        <v>0</v>
      </c>
      <c r="N152" s="316"/>
      <c r="O152" s="160">
        <f t="shared" si="23"/>
        <v>0</v>
      </c>
      <c r="P152" s="160">
        <f t="shared" si="24"/>
        <v>0</v>
      </c>
    </row>
    <row r="153" spans="2:16">
      <c r="B153" t="str">
        <f t="shared" si="11"/>
        <v/>
      </c>
      <c r="C153" s="155">
        <f>IF(D94="","-",+C152+1)</f>
        <v>2069</v>
      </c>
      <c r="D153" s="156">
        <f>IF(F152+SUM(E$100:E152)=D$93,F152,D$93-SUM(E$100:E152))</f>
        <v>0</v>
      </c>
      <c r="E153" s="162">
        <f t="shared" si="17"/>
        <v>0</v>
      </c>
      <c r="F153" s="161">
        <f t="shared" si="18"/>
        <v>0</v>
      </c>
      <c r="G153" s="161">
        <f t="shared" si="19"/>
        <v>0</v>
      </c>
      <c r="H153" s="314">
        <f t="shared" si="12"/>
        <v>0</v>
      </c>
      <c r="I153" s="323">
        <f t="shared" si="20"/>
        <v>0</v>
      </c>
      <c r="J153" s="160">
        <f t="shared" si="21"/>
        <v>0</v>
      </c>
      <c r="K153" s="160"/>
      <c r="L153" s="316"/>
      <c r="M153" s="160">
        <f t="shared" si="22"/>
        <v>0</v>
      </c>
      <c r="N153" s="316"/>
      <c r="O153" s="160">
        <f t="shared" si="23"/>
        <v>0</v>
      </c>
      <c r="P153" s="160">
        <f t="shared" si="24"/>
        <v>0</v>
      </c>
    </row>
    <row r="154" spans="2:16">
      <c r="B154" t="str">
        <f t="shared" si="11"/>
        <v/>
      </c>
      <c r="C154" s="155">
        <f>IF(D94="","-",+C153+1)</f>
        <v>2070</v>
      </c>
      <c r="D154" s="156">
        <f>IF(F153+SUM(E$100:E153)=D$93,F153,D$93-SUM(E$100:E153))</f>
        <v>0</v>
      </c>
      <c r="E154" s="162">
        <f t="shared" si="17"/>
        <v>0</v>
      </c>
      <c r="F154" s="161">
        <f t="shared" si="18"/>
        <v>0</v>
      </c>
      <c r="G154" s="161">
        <f t="shared" si="19"/>
        <v>0</v>
      </c>
      <c r="H154" s="314">
        <f t="shared" si="12"/>
        <v>0</v>
      </c>
      <c r="I154" s="323">
        <f t="shared" si="20"/>
        <v>0</v>
      </c>
      <c r="J154" s="160">
        <f t="shared" si="21"/>
        <v>0</v>
      </c>
      <c r="K154" s="160"/>
      <c r="L154" s="316"/>
      <c r="M154" s="160">
        <f t="shared" si="22"/>
        <v>0</v>
      </c>
      <c r="N154" s="316"/>
      <c r="O154" s="160">
        <f t="shared" si="23"/>
        <v>0</v>
      </c>
      <c r="P154" s="160">
        <f t="shared" si="24"/>
        <v>0</v>
      </c>
    </row>
    <row r="155" spans="2:16" ht="13.5" thickBot="1">
      <c r="B155" t="str">
        <f t="shared" si="11"/>
        <v/>
      </c>
      <c r="C155" s="166">
        <f>IF(D94="","-",+C154+1)</f>
        <v>2071</v>
      </c>
      <c r="D155" s="214">
        <f>IF(F154+SUM(E$100:E154)=D$93,F154,D$93-SUM(E$100:E154))</f>
        <v>0</v>
      </c>
      <c r="E155" s="168">
        <f t="shared" si="17"/>
        <v>0</v>
      </c>
      <c r="F155" s="167">
        <f t="shared" si="18"/>
        <v>0</v>
      </c>
      <c r="G155" s="167">
        <f t="shared" si="19"/>
        <v>0</v>
      </c>
      <c r="H155" s="324">
        <f t="shared" si="12"/>
        <v>0</v>
      </c>
      <c r="I155" s="325">
        <f t="shared" si="20"/>
        <v>0</v>
      </c>
      <c r="J155" s="171">
        <f t="shared" si="21"/>
        <v>0</v>
      </c>
      <c r="K155" s="160"/>
      <c r="L155" s="317"/>
      <c r="M155" s="171">
        <f t="shared" si="22"/>
        <v>0</v>
      </c>
      <c r="N155" s="317"/>
      <c r="O155" s="171">
        <f t="shared" si="23"/>
        <v>0</v>
      </c>
      <c r="P155" s="171">
        <f t="shared" si="24"/>
        <v>0</v>
      </c>
    </row>
    <row r="156" spans="2:16">
      <c r="C156" s="156" t="s">
        <v>75</v>
      </c>
      <c r="D156" s="112"/>
      <c r="E156" s="112">
        <f>SUM(E100:E155)</f>
        <v>8789790</v>
      </c>
      <c r="F156" s="112"/>
      <c r="G156" s="112"/>
      <c r="H156" s="112">
        <f>SUM(H100:H155)</f>
        <v>25955417.550132602</v>
      </c>
      <c r="I156" s="112">
        <f>SUM(I100:I155)</f>
        <v>25955417.550132602</v>
      </c>
      <c r="J156" s="112">
        <f>SUM(J100:J155)</f>
        <v>0</v>
      </c>
      <c r="K156" s="112"/>
      <c r="L156" s="112"/>
      <c r="M156" s="112"/>
      <c r="N156" s="112"/>
      <c r="O156" s="112"/>
      <c r="P156" s="1"/>
    </row>
    <row r="157" spans="2:16">
      <c r="C157" t="s">
        <v>90</v>
      </c>
      <c r="D157" s="2"/>
      <c r="E157" s="1"/>
      <c r="F157" s="1"/>
      <c r="G157" s="1"/>
      <c r="H157" s="1"/>
      <c r="I157" s="3"/>
      <c r="J157" s="3"/>
      <c r="K157" s="112"/>
      <c r="L157" s="3"/>
      <c r="M157" s="3"/>
      <c r="N157" s="3"/>
      <c r="O157" s="3"/>
      <c r="P157" s="1"/>
    </row>
    <row r="158" spans="2:16">
      <c r="C158" s="215"/>
      <c r="D158" s="2"/>
      <c r="E158" s="1"/>
      <c r="F158" s="1"/>
      <c r="G158" s="1"/>
      <c r="H158" s="1"/>
      <c r="I158" s="3"/>
      <c r="J158" s="3"/>
      <c r="K158" s="112"/>
      <c r="L158" s="3"/>
      <c r="M158" s="3"/>
      <c r="N158" s="3"/>
      <c r="O158" s="3"/>
      <c r="P158" s="1"/>
    </row>
    <row r="159" spans="2:16">
      <c r="C159" s="245" t="s">
        <v>130</v>
      </c>
      <c r="D159" s="2"/>
      <c r="E159" s="1"/>
      <c r="F159" s="1"/>
      <c r="G159" s="1"/>
      <c r="H159" s="1"/>
      <c r="I159" s="3"/>
      <c r="J159" s="3"/>
      <c r="K159" s="112"/>
      <c r="L159" s="3"/>
      <c r="M159" s="3"/>
      <c r="N159" s="3"/>
      <c r="O159" s="3"/>
      <c r="P159" s="1"/>
    </row>
    <row r="160" spans="2:16">
      <c r="C160" s="124" t="s">
        <v>76</v>
      </c>
      <c r="D160" s="156"/>
      <c r="E160" s="156"/>
      <c r="F160" s="156"/>
      <c r="G160" s="156"/>
      <c r="H160" s="112"/>
      <c r="I160" s="112"/>
      <c r="J160" s="173"/>
      <c r="K160" s="173"/>
      <c r="L160" s="173"/>
      <c r="M160" s="173"/>
      <c r="N160" s="173"/>
      <c r="O160" s="173"/>
      <c r="P160" s="1"/>
    </row>
    <row r="161" spans="3:16">
      <c r="C161" s="216" t="s">
        <v>77</v>
      </c>
      <c r="D161" s="156"/>
      <c r="E161" s="156"/>
      <c r="F161" s="156"/>
      <c r="G161" s="156"/>
      <c r="H161" s="112"/>
      <c r="I161" s="112"/>
      <c r="J161" s="173"/>
      <c r="K161" s="173"/>
      <c r="L161" s="173"/>
      <c r="M161" s="173"/>
      <c r="N161" s="173"/>
      <c r="O161" s="173"/>
      <c r="P161" s="1"/>
    </row>
    <row r="162" spans="3:16">
      <c r="C162" s="216"/>
      <c r="D162" s="156"/>
      <c r="E162" s="156"/>
      <c r="F162" s="156"/>
      <c r="G162" s="156"/>
      <c r="H162" s="112"/>
      <c r="I162" s="112"/>
      <c r="J162" s="173"/>
      <c r="K162" s="173"/>
      <c r="L162" s="173"/>
      <c r="M162" s="173"/>
      <c r="N162" s="173"/>
      <c r="O162" s="173"/>
      <c r="P162" s="1"/>
    </row>
    <row r="163" spans="3:16" ht="18">
      <c r="C163" s="216"/>
      <c r="D163" s="156"/>
      <c r="E163" s="156"/>
      <c r="F163" s="156"/>
      <c r="G163" s="156"/>
      <c r="H163" s="112"/>
      <c r="I163" s="112"/>
      <c r="J163" s="173"/>
      <c r="K163" s="173"/>
      <c r="L163" s="173"/>
      <c r="M163" s="173"/>
      <c r="N163" s="173"/>
      <c r="P163" s="242"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opLeftCell="A80" zoomScale="85" zoomScaleNormal="85" workbookViewId="0">
      <selection activeCell="M89" sqref="M89"/>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240" t="s">
        <v>189</v>
      </c>
      <c r="B1" s="1"/>
      <c r="C1" s="23"/>
      <c r="D1" s="2"/>
      <c r="E1" s="1"/>
      <c r="F1" s="100"/>
      <c r="G1" s="1"/>
      <c r="H1" s="3"/>
      <c r="J1" s="7"/>
      <c r="K1" s="110"/>
      <c r="L1" s="110"/>
      <c r="M1" s="110"/>
      <c r="P1" s="246" t="str">
        <f ca="1">"OKT Project "&amp;RIGHT(MID(CELL("filename",$A$1),FIND("]",CELL("filename",$A$1))+1,256),2)&amp;" of "&amp;COUNT('OKT.001:OKT.xyz - blank'!$P$3)-1</f>
        <v>OKT Project 19 of 19</v>
      </c>
    </row>
    <row r="2" spans="1:16" ht="18">
      <c r="B2" s="1"/>
      <c r="C2" s="1"/>
      <c r="D2" s="2"/>
      <c r="E2" s="1"/>
      <c r="F2" s="1"/>
      <c r="G2" s="1"/>
      <c r="H2" s="3"/>
      <c r="I2" s="1"/>
      <c r="J2" s="4"/>
      <c r="K2" s="1"/>
      <c r="L2" s="1"/>
      <c r="M2" s="1"/>
      <c r="N2" s="1"/>
      <c r="P2" s="247" t="s">
        <v>131</v>
      </c>
    </row>
    <row r="3" spans="1:16" ht="18.75">
      <c r="B3" s="5" t="s">
        <v>42</v>
      </c>
      <c r="C3" s="69" t="s">
        <v>43</v>
      </c>
      <c r="D3" s="2"/>
      <c r="E3" s="1"/>
      <c r="F3" s="1"/>
      <c r="G3" s="1"/>
      <c r="H3" s="3"/>
      <c r="I3" s="3"/>
      <c r="J3" s="112"/>
      <c r="K3" s="3"/>
      <c r="L3" s="3"/>
      <c r="M3" s="3"/>
      <c r="N3" s="3"/>
      <c r="O3" s="1"/>
      <c r="P3" s="237">
        <v>1</v>
      </c>
    </row>
    <row r="4" spans="1:16" ht="15.75" thickBot="1">
      <c r="C4" s="68"/>
      <c r="D4" s="2"/>
      <c r="E4" s="1"/>
      <c r="F4" s="1"/>
      <c r="G4" s="1"/>
      <c r="H4" s="3"/>
      <c r="I4" s="3"/>
      <c r="J4" s="112"/>
      <c r="K4" s="3"/>
      <c r="L4" s="3"/>
      <c r="M4" s="3"/>
      <c r="N4" s="3"/>
      <c r="O4" s="1"/>
      <c r="P4" s="1"/>
    </row>
    <row r="5" spans="1:16" ht="15">
      <c r="C5" s="113" t="s">
        <v>44</v>
      </c>
      <c r="D5" s="2"/>
      <c r="E5" s="1"/>
      <c r="F5" s="1"/>
      <c r="G5" s="114"/>
      <c r="H5" s="1" t="s">
        <v>45</v>
      </c>
      <c r="I5" s="1"/>
      <c r="J5" s="4"/>
      <c r="K5" s="115" t="s">
        <v>242</v>
      </c>
      <c r="L5" s="116"/>
      <c r="M5" s="117"/>
      <c r="N5" s="118">
        <f>VLOOKUP(I10,C17:I73,5)</f>
        <v>1047072.1407929109</v>
      </c>
      <c r="P5" s="1"/>
    </row>
    <row r="6" spans="1:16" ht="15.75">
      <c r="C6" s="8"/>
      <c r="D6" s="2"/>
      <c r="E6" s="1"/>
      <c r="F6" s="1"/>
      <c r="G6" s="1"/>
      <c r="H6" s="119"/>
      <c r="I6" s="119"/>
      <c r="J6" s="120"/>
      <c r="K6" s="121" t="s">
        <v>243</v>
      </c>
      <c r="L6" s="122"/>
      <c r="M6" s="4"/>
      <c r="N6" s="123">
        <f>VLOOKUP(I10,C17:I73,6)</f>
        <v>1047072.1407929109</v>
      </c>
      <c r="O6" s="1"/>
      <c r="P6" s="1"/>
    </row>
    <row r="7" spans="1:16" ht="13.5" thickBot="1">
      <c r="C7" s="124" t="s">
        <v>46</v>
      </c>
      <c r="D7" s="222" t="s">
        <v>270</v>
      </c>
      <c r="E7" s="1"/>
      <c r="F7" s="1"/>
      <c r="G7" s="1"/>
      <c r="H7" s="3"/>
      <c r="I7" s="3"/>
      <c r="J7" s="112"/>
      <c r="K7" s="125" t="s">
        <v>47</v>
      </c>
      <c r="L7" s="126"/>
      <c r="M7" s="126"/>
      <c r="N7" s="127">
        <f>+N6-N5</f>
        <v>0</v>
      </c>
      <c r="O7" s="1"/>
      <c r="P7" s="1"/>
    </row>
    <row r="8" spans="1:16" ht="13.5" thickBot="1">
      <c r="C8" s="128"/>
      <c r="D8" s="244"/>
      <c r="E8" s="129"/>
      <c r="F8" s="129"/>
      <c r="G8" s="129"/>
      <c r="H8" s="129"/>
      <c r="I8" s="129"/>
      <c r="J8" s="102"/>
      <c r="K8" s="129"/>
      <c r="L8" s="129"/>
      <c r="M8" s="129"/>
      <c r="N8" s="129"/>
      <c r="O8" s="102"/>
      <c r="P8" s="23"/>
    </row>
    <row r="9" spans="1:16" ht="13.5" thickBot="1">
      <c r="C9" s="130" t="s">
        <v>48</v>
      </c>
      <c r="D9" s="224" t="s">
        <v>269</v>
      </c>
      <c r="E9" s="131"/>
      <c r="F9" s="131"/>
      <c r="G9" s="131"/>
      <c r="H9" s="131"/>
      <c r="I9" s="132"/>
      <c r="J9" s="133"/>
      <c r="O9" s="134"/>
      <c r="P9" s="4"/>
    </row>
    <row r="10" spans="1:16">
      <c r="C10" s="135" t="s">
        <v>49</v>
      </c>
      <c r="D10" s="136">
        <v>14897000</v>
      </c>
      <c r="E10" s="63" t="s">
        <v>50</v>
      </c>
      <c r="F10" s="134"/>
      <c r="G10" s="137"/>
      <c r="H10" s="137"/>
      <c r="I10" s="138">
        <f>+OKT.WS.F.BPU.ATRR.Projected!R100</f>
        <v>2018</v>
      </c>
      <c r="J10" s="133"/>
      <c r="K10" s="112" t="s">
        <v>51</v>
      </c>
      <c r="O10" s="4"/>
      <c r="P10" s="4"/>
    </row>
    <row r="11" spans="1:16">
      <c r="C11" s="139" t="s">
        <v>52</v>
      </c>
      <c r="D11" s="140">
        <v>2018</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row>
    <row r="12" spans="1:16">
      <c r="C12" s="139" t="s">
        <v>54</v>
      </c>
      <c r="D12" s="136">
        <v>6</v>
      </c>
      <c r="E12" s="139" t="s">
        <v>55</v>
      </c>
      <c r="F12" s="137"/>
      <c r="G12" s="7"/>
      <c r="H12" s="7"/>
      <c r="I12" s="143">
        <f>OKT.WS.F.BPU.ATRR.Projected!$F$78</f>
        <v>0.11749102697326873</v>
      </c>
      <c r="J12" s="144"/>
      <c r="K12" t="s">
        <v>56</v>
      </c>
      <c r="O12" s="4"/>
      <c r="P12" s="4"/>
    </row>
    <row r="13" spans="1:16">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row>
    <row r="14" spans="1:16" ht="13.5" thickBot="1">
      <c r="C14" s="139" t="s">
        <v>60</v>
      </c>
      <c r="D14" s="140" t="s">
        <v>61</v>
      </c>
      <c r="E14" s="4" t="s">
        <v>62</v>
      </c>
      <c r="F14" s="137"/>
      <c r="G14" s="7"/>
      <c r="H14" s="7"/>
      <c r="I14" s="145">
        <f>IF(D10=0,0,D10/D13)</f>
        <v>365342.69710506656</v>
      </c>
      <c r="J14" s="112"/>
      <c r="K14" s="112"/>
      <c r="L14" s="112"/>
      <c r="M14" s="112"/>
      <c r="N14" s="112"/>
      <c r="O14" s="4"/>
      <c r="P14" s="4"/>
    </row>
    <row r="15" spans="1:16"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row>
    <row r="16" spans="1:16"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row>
    <row r="17" spans="2:16">
      <c r="B17" t="str">
        <f t="shared" ref="B17:B71" si="0">IF(D17=F16,"","IU")</f>
        <v>IU</v>
      </c>
      <c r="C17" s="155">
        <f>IF(D11= "","-",D11)</f>
        <v>2018</v>
      </c>
      <c r="D17" s="156">
        <v>0</v>
      </c>
      <c r="E17" s="157">
        <v>182671.34855253328</v>
      </c>
      <c r="F17" s="161">
        <v>14714328.651447468</v>
      </c>
      <c r="G17" s="157">
        <v>1047072.1407929109</v>
      </c>
      <c r="H17" s="145">
        <v>1047072.1407929109</v>
      </c>
      <c r="I17" s="158">
        <f t="shared" ref="I17:I71" si="1">H17-G17</f>
        <v>0</v>
      </c>
      <c r="J17" s="158"/>
      <c r="K17" s="318">
        <f>+G17</f>
        <v>1047072.1407929109</v>
      </c>
      <c r="L17" s="159">
        <f t="shared" ref="L17:L71" si="2">IF(K17&lt;&gt;0,+G17-K17,0)</f>
        <v>0</v>
      </c>
      <c r="M17" s="318">
        <f>+H17</f>
        <v>1047072.1407929109</v>
      </c>
      <c r="N17" s="159">
        <f t="shared" ref="N17:N71" si="3">IF(M17&lt;&gt;0,+H17-M17,0)</f>
        <v>0</v>
      </c>
      <c r="O17" s="160">
        <f t="shared" ref="O17:O71" si="4">+N17-L17</f>
        <v>0</v>
      </c>
      <c r="P17" s="4"/>
    </row>
    <row r="18" spans="2:16">
      <c r="B18" t="str">
        <f t="shared" si="0"/>
        <v/>
      </c>
      <c r="C18" s="155">
        <f>IF(D11="","-",+C17+1)</f>
        <v>2019</v>
      </c>
      <c r="D18" s="164">
        <f>IF(F17+SUM(E$17:E17)=D$10,F17,D$10-SUM(E$17:E17))</f>
        <v>14714328.651447468</v>
      </c>
      <c r="E18" s="162">
        <f t="shared" ref="E18:E71" si="5">IF(+I$14&lt;F17,I$14,D18)</f>
        <v>365342.69710506656</v>
      </c>
      <c r="F18" s="161">
        <f t="shared" ref="F18:F71" si="6">+D18-E18</f>
        <v>14348985.954342401</v>
      </c>
      <c r="G18" s="163">
        <f t="shared" ref="G18:G71" si="7">(D18+F18)/2*I$12+E18</f>
        <v>2072682.037245793</v>
      </c>
      <c r="H18" s="145">
        <f t="shared" ref="H18:H71" si="8">+(D18+F18)/2*I$13+E18</f>
        <v>2072682.037245793</v>
      </c>
      <c r="I18" s="158">
        <f t="shared" si="1"/>
        <v>0</v>
      </c>
      <c r="J18" s="158"/>
      <c r="K18" s="316"/>
      <c r="L18" s="160">
        <f t="shared" si="2"/>
        <v>0</v>
      </c>
      <c r="M18" s="316"/>
      <c r="N18" s="160">
        <f t="shared" si="3"/>
        <v>0</v>
      </c>
      <c r="O18" s="160">
        <f t="shared" si="4"/>
        <v>0</v>
      </c>
      <c r="P18" s="4"/>
    </row>
    <row r="19" spans="2:16">
      <c r="B19" t="str">
        <f t="shared" si="0"/>
        <v/>
      </c>
      <c r="C19" s="155">
        <f>IF(D11="","-",+C18+1)</f>
        <v>2020</v>
      </c>
      <c r="D19" s="164">
        <f>IF(F18+SUM(E$17:E18)=D$10,F18,D$10-SUM(E$17:E18))</f>
        <v>14348985.954342401</v>
      </c>
      <c r="E19" s="162">
        <f t="shared" si="5"/>
        <v>365342.69710506656</v>
      </c>
      <c r="F19" s="161">
        <f t="shared" si="6"/>
        <v>13983643.257237334</v>
      </c>
      <c r="G19" s="163">
        <f t="shared" si="7"/>
        <v>2029757.5485657346</v>
      </c>
      <c r="H19" s="145">
        <f t="shared" si="8"/>
        <v>2029757.5485657346</v>
      </c>
      <c r="I19" s="158">
        <f t="shared" si="1"/>
        <v>0</v>
      </c>
      <c r="J19" s="158"/>
      <c r="K19" s="316"/>
      <c r="L19" s="160">
        <f t="shared" si="2"/>
        <v>0</v>
      </c>
      <c r="M19" s="316"/>
      <c r="N19" s="160">
        <f t="shared" si="3"/>
        <v>0</v>
      </c>
      <c r="O19" s="160">
        <f t="shared" si="4"/>
        <v>0</v>
      </c>
      <c r="P19" s="4"/>
    </row>
    <row r="20" spans="2:16">
      <c r="B20" t="str">
        <f t="shared" si="0"/>
        <v/>
      </c>
      <c r="C20" s="155">
        <f>IF(D11="","-",+C19+1)</f>
        <v>2021</v>
      </c>
      <c r="D20" s="164">
        <f>IF(F19+SUM(E$17:E19)=D$10,F19,D$10-SUM(E$17:E19))</f>
        <v>13983643.257237334</v>
      </c>
      <c r="E20" s="162">
        <f t="shared" si="5"/>
        <v>365342.69710506656</v>
      </c>
      <c r="F20" s="161">
        <f t="shared" si="6"/>
        <v>13618300.560132267</v>
      </c>
      <c r="G20" s="163">
        <f t="shared" si="7"/>
        <v>1986833.0598856767</v>
      </c>
      <c r="H20" s="145">
        <f t="shared" si="8"/>
        <v>1986833.0598856767</v>
      </c>
      <c r="I20" s="158">
        <f t="shared" si="1"/>
        <v>0</v>
      </c>
      <c r="J20" s="158"/>
      <c r="K20" s="316"/>
      <c r="L20" s="160">
        <f t="shared" si="2"/>
        <v>0</v>
      </c>
      <c r="M20" s="316"/>
      <c r="N20" s="160">
        <f t="shared" si="3"/>
        <v>0</v>
      </c>
      <c r="O20" s="160">
        <f t="shared" si="4"/>
        <v>0</v>
      </c>
      <c r="P20" s="4"/>
    </row>
    <row r="21" spans="2:16">
      <c r="B21" t="str">
        <f t="shared" si="0"/>
        <v/>
      </c>
      <c r="C21" s="155">
        <f>IF(D11="","-",+C20+1)</f>
        <v>2022</v>
      </c>
      <c r="D21" s="164">
        <f>IF(F20+SUM(E$17:E20)=D$10,F20,D$10-SUM(E$17:E20))</f>
        <v>13618300.560132267</v>
      </c>
      <c r="E21" s="162">
        <f t="shared" si="5"/>
        <v>365342.69710506656</v>
      </c>
      <c r="F21" s="161">
        <f t="shared" si="6"/>
        <v>13252957.8630272</v>
      </c>
      <c r="G21" s="163">
        <f t="shared" si="7"/>
        <v>1943908.5712056183</v>
      </c>
      <c r="H21" s="145">
        <f t="shared" si="8"/>
        <v>1943908.5712056183</v>
      </c>
      <c r="I21" s="158">
        <f t="shared" si="1"/>
        <v>0</v>
      </c>
      <c r="J21" s="158"/>
      <c r="K21" s="316"/>
      <c r="L21" s="160">
        <f t="shared" si="2"/>
        <v>0</v>
      </c>
      <c r="M21" s="316"/>
      <c r="N21" s="160">
        <f t="shared" si="3"/>
        <v>0</v>
      </c>
      <c r="O21" s="160">
        <f t="shared" si="4"/>
        <v>0</v>
      </c>
      <c r="P21" s="4"/>
    </row>
    <row r="22" spans="2:16">
      <c r="B22" t="str">
        <f t="shared" si="0"/>
        <v/>
      </c>
      <c r="C22" s="155">
        <f>IF(D11="","-",+C21+1)</f>
        <v>2023</v>
      </c>
      <c r="D22" s="164">
        <f>IF(F21+SUM(E$17:E21)=D$10,F21,D$10-SUM(E$17:E21))</f>
        <v>13252957.8630272</v>
      </c>
      <c r="E22" s="162">
        <f t="shared" si="5"/>
        <v>365342.69710506656</v>
      </c>
      <c r="F22" s="161">
        <f t="shared" si="6"/>
        <v>12887615.165922133</v>
      </c>
      <c r="G22" s="163">
        <f t="shared" si="7"/>
        <v>1900984.0825255604</v>
      </c>
      <c r="H22" s="145">
        <f t="shared" si="8"/>
        <v>1900984.0825255604</v>
      </c>
      <c r="I22" s="158">
        <f t="shared" si="1"/>
        <v>0</v>
      </c>
      <c r="J22" s="158"/>
      <c r="K22" s="316"/>
      <c r="L22" s="160">
        <f t="shared" si="2"/>
        <v>0</v>
      </c>
      <c r="M22" s="316"/>
      <c r="N22" s="160">
        <f t="shared" si="3"/>
        <v>0</v>
      </c>
      <c r="O22" s="160">
        <f t="shared" si="4"/>
        <v>0</v>
      </c>
      <c r="P22" s="4"/>
    </row>
    <row r="23" spans="2:16">
      <c r="B23" t="str">
        <f t="shared" si="0"/>
        <v/>
      </c>
      <c r="C23" s="155">
        <f>IF(D11="","-",+C22+1)</f>
        <v>2024</v>
      </c>
      <c r="D23" s="164">
        <f>IF(F22+SUM(E$17:E22)=D$10,F22,D$10-SUM(E$17:E22))</f>
        <v>12887615.165922133</v>
      </c>
      <c r="E23" s="162">
        <f t="shared" si="5"/>
        <v>365342.69710506656</v>
      </c>
      <c r="F23" s="161">
        <f t="shared" si="6"/>
        <v>12522272.468817066</v>
      </c>
      <c r="G23" s="163">
        <f t="shared" si="7"/>
        <v>1858059.593845502</v>
      </c>
      <c r="H23" s="145">
        <f t="shared" si="8"/>
        <v>1858059.593845502</v>
      </c>
      <c r="I23" s="158">
        <f t="shared" si="1"/>
        <v>0</v>
      </c>
      <c r="J23" s="158"/>
      <c r="K23" s="316"/>
      <c r="L23" s="160">
        <f t="shared" si="2"/>
        <v>0</v>
      </c>
      <c r="M23" s="316"/>
      <c r="N23" s="160">
        <f t="shared" si="3"/>
        <v>0</v>
      </c>
      <c r="O23" s="160">
        <f t="shared" si="4"/>
        <v>0</v>
      </c>
      <c r="P23" s="4"/>
    </row>
    <row r="24" spans="2:16">
      <c r="B24" t="str">
        <f t="shared" si="0"/>
        <v/>
      </c>
      <c r="C24" s="155">
        <f>IF(D11="","-",+C23+1)</f>
        <v>2025</v>
      </c>
      <c r="D24" s="164">
        <f>IF(F23+SUM(E$17:E23)=D$10,F23,D$10-SUM(E$17:E23))</f>
        <v>12522272.468817066</v>
      </c>
      <c r="E24" s="162">
        <f t="shared" si="5"/>
        <v>365342.69710506656</v>
      </c>
      <c r="F24" s="161">
        <f t="shared" si="6"/>
        <v>12156929.771712</v>
      </c>
      <c r="G24" s="163">
        <f t="shared" si="7"/>
        <v>1815135.1051654441</v>
      </c>
      <c r="H24" s="145">
        <f t="shared" si="8"/>
        <v>1815135.1051654441</v>
      </c>
      <c r="I24" s="158">
        <f t="shared" si="1"/>
        <v>0</v>
      </c>
      <c r="J24" s="158"/>
      <c r="K24" s="316"/>
      <c r="L24" s="160">
        <f t="shared" si="2"/>
        <v>0</v>
      </c>
      <c r="M24" s="316"/>
      <c r="N24" s="160">
        <f t="shared" si="3"/>
        <v>0</v>
      </c>
      <c r="O24" s="160">
        <f t="shared" si="4"/>
        <v>0</v>
      </c>
      <c r="P24" s="4"/>
    </row>
    <row r="25" spans="2:16">
      <c r="B25" t="str">
        <f t="shared" si="0"/>
        <v/>
      </c>
      <c r="C25" s="155">
        <f>IF(D11="","-",+C24+1)</f>
        <v>2026</v>
      </c>
      <c r="D25" s="164">
        <f>IF(F24+SUM(E$17:E24)=D$10,F24,D$10-SUM(E$17:E24))</f>
        <v>12156929.771712</v>
      </c>
      <c r="E25" s="162">
        <f t="shared" si="5"/>
        <v>365342.69710506656</v>
      </c>
      <c r="F25" s="161">
        <f t="shared" si="6"/>
        <v>11791587.074606933</v>
      </c>
      <c r="G25" s="163">
        <f t="shared" si="7"/>
        <v>1772210.6164853857</v>
      </c>
      <c r="H25" s="145">
        <f t="shared" si="8"/>
        <v>1772210.6164853857</v>
      </c>
      <c r="I25" s="158">
        <f t="shared" si="1"/>
        <v>0</v>
      </c>
      <c r="J25" s="158"/>
      <c r="K25" s="316"/>
      <c r="L25" s="160">
        <f t="shared" si="2"/>
        <v>0</v>
      </c>
      <c r="M25" s="316"/>
      <c r="N25" s="160">
        <f t="shared" si="3"/>
        <v>0</v>
      </c>
      <c r="O25" s="160">
        <f t="shared" si="4"/>
        <v>0</v>
      </c>
      <c r="P25" s="4"/>
    </row>
    <row r="26" spans="2:16">
      <c r="B26" t="str">
        <f t="shared" si="0"/>
        <v/>
      </c>
      <c r="C26" s="155">
        <f>IF(D11="","-",+C25+1)</f>
        <v>2027</v>
      </c>
      <c r="D26" s="164">
        <f>IF(F25+SUM(E$17:E25)=D$10,F25,D$10-SUM(E$17:E25))</f>
        <v>11791587.074606933</v>
      </c>
      <c r="E26" s="162">
        <f t="shared" si="5"/>
        <v>365342.69710506656</v>
      </c>
      <c r="F26" s="161">
        <f t="shared" si="6"/>
        <v>11426244.377501866</v>
      </c>
      <c r="G26" s="163">
        <f t="shared" si="7"/>
        <v>1729286.1278053278</v>
      </c>
      <c r="H26" s="145">
        <f t="shared" si="8"/>
        <v>1729286.1278053278</v>
      </c>
      <c r="I26" s="158">
        <f t="shared" si="1"/>
        <v>0</v>
      </c>
      <c r="J26" s="158"/>
      <c r="K26" s="316"/>
      <c r="L26" s="160">
        <f t="shared" si="2"/>
        <v>0</v>
      </c>
      <c r="M26" s="316"/>
      <c r="N26" s="160">
        <f t="shared" si="3"/>
        <v>0</v>
      </c>
      <c r="O26" s="160">
        <f t="shared" si="4"/>
        <v>0</v>
      </c>
      <c r="P26" s="4"/>
    </row>
    <row r="27" spans="2:16">
      <c r="B27" t="str">
        <f t="shared" si="0"/>
        <v/>
      </c>
      <c r="C27" s="155">
        <f>IF(D11="","-",+C26+1)</f>
        <v>2028</v>
      </c>
      <c r="D27" s="164">
        <f>IF(F26+SUM(E$17:E26)=D$10,F26,D$10-SUM(E$17:E26))</f>
        <v>11426244.377501866</v>
      </c>
      <c r="E27" s="162">
        <f t="shared" si="5"/>
        <v>365342.69710506656</v>
      </c>
      <c r="F27" s="161">
        <f t="shared" si="6"/>
        <v>11060901.680396799</v>
      </c>
      <c r="G27" s="163">
        <f t="shared" si="7"/>
        <v>1686361.6391252694</v>
      </c>
      <c r="H27" s="145">
        <f t="shared" si="8"/>
        <v>1686361.6391252694</v>
      </c>
      <c r="I27" s="158">
        <f t="shared" si="1"/>
        <v>0</v>
      </c>
      <c r="J27" s="158"/>
      <c r="K27" s="316"/>
      <c r="L27" s="160">
        <f t="shared" si="2"/>
        <v>0</v>
      </c>
      <c r="M27" s="316"/>
      <c r="N27" s="160">
        <f t="shared" si="3"/>
        <v>0</v>
      </c>
      <c r="O27" s="160">
        <f t="shared" si="4"/>
        <v>0</v>
      </c>
      <c r="P27" s="4"/>
    </row>
    <row r="28" spans="2:16">
      <c r="B28" t="str">
        <f t="shared" si="0"/>
        <v/>
      </c>
      <c r="C28" s="155">
        <f>IF(D11="","-",+C27+1)</f>
        <v>2029</v>
      </c>
      <c r="D28" s="164">
        <f>IF(F27+SUM(E$17:E27)=D$10,F27,D$10-SUM(E$17:E27))</f>
        <v>11060901.680396799</v>
      </c>
      <c r="E28" s="162">
        <f t="shared" si="5"/>
        <v>365342.69710506656</v>
      </c>
      <c r="F28" s="161">
        <f t="shared" si="6"/>
        <v>10695558.983291732</v>
      </c>
      <c r="G28" s="163">
        <f t="shared" si="7"/>
        <v>1643437.1504452114</v>
      </c>
      <c r="H28" s="145">
        <f t="shared" si="8"/>
        <v>1643437.1504452114</v>
      </c>
      <c r="I28" s="158">
        <f t="shared" si="1"/>
        <v>0</v>
      </c>
      <c r="J28" s="158"/>
      <c r="K28" s="316"/>
      <c r="L28" s="160">
        <f t="shared" si="2"/>
        <v>0</v>
      </c>
      <c r="M28" s="316"/>
      <c r="N28" s="160">
        <f t="shared" si="3"/>
        <v>0</v>
      </c>
      <c r="O28" s="160">
        <f t="shared" si="4"/>
        <v>0</v>
      </c>
      <c r="P28" s="4"/>
    </row>
    <row r="29" spans="2:16">
      <c r="B29" t="str">
        <f t="shared" si="0"/>
        <v/>
      </c>
      <c r="C29" s="155">
        <f>IF(D11="","-",+C28+1)</f>
        <v>2030</v>
      </c>
      <c r="D29" s="164">
        <f>IF(F28+SUM(E$17:E28)=D$10,F28,D$10-SUM(E$17:E28))</f>
        <v>10695558.983291732</v>
      </c>
      <c r="E29" s="162">
        <f t="shared" si="5"/>
        <v>365342.69710506656</v>
      </c>
      <c r="F29" s="161">
        <f t="shared" si="6"/>
        <v>10330216.286186665</v>
      </c>
      <c r="G29" s="163">
        <f t="shared" si="7"/>
        <v>1600512.6617651531</v>
      </c>
      <c r="H29" s="145">
        <f t="shared" si="8"/>
        <v>1600512.6617651531</v>
      </c>
      <c r="I29" s="158">
        <f t="shared" si="1"/>
        <v>0</v>
      </c>
      <c r="J29" s="158"/>
      <c r="K29" s="316"/>
      <c r="L29" s="160">
        <f t="shared" si="2"/>
        <v>0</v>
      </c>
      <c r="M29" s="316"/>
      <c r="N29" s="160">
        <f t="shared" si="3"/>
        <v>0</v>
      </c>
      <c r="O29" s="160">
        <f t="shared" si="4"/>
        <v>0</v>
      </c>
      <c r="P29" s="4"/>
    </row>
    <row r="30" spans="2:16">
      <c r="B30" t="str">
        <f t="shared" si="0"/>
        <v/>
      </c>
      <c r="C30" s="155">
        <f>IF(D11="","-",+C29+1)</f>
        <v>2031</v>
      </c>
      <c r="D30" s="164">
        <f>IF(F29+SUM(E$17:E29)=D$10,F29,D$10-SUM(E$17:E29))</f>
        <v>10330216.286186665</v>
      </c>
      <c r="E30" s="162">
        <f t="shared" si="5"/>
        <v>365342.69710506656</v>
      </c>
      <c r="F30" s="161">
        <f t="shared" si="6"/>
        <v>9964873.5890815984</v>
      </c>
      <c r="G30" s="163">
        <f t="shared" si="7"/>
        <v>1557588.1730850951</v>
      </c>
      <c r="H30" s="145">
        <f t="shared" si="8"/>
        <v>1557588.1730850951</v>
      </c>
      <c r="I30" s="158">
        <f t="shared" si="1"/>
        <v>0</v>
      </c>
      <c r="J30" s="158"/>
      <c r="K30" s="316"/>
      <c r="L30" s="160">
        <f t="shared" si="2"/>
        <v>0</v>
      </c>
      <c r="M30" s="316"/>
      <c r="N30" s="160">
        <f t="shared" si="3"/>
        <v>0</v>
      </c>
      <c r="O30" s="160">
        <f t="shared" si="4"/>
        <v>0</v>
      </c>
      <c r="P30" s="4"/>
    </row>
    <row r="31" spans="2:16">
      <c r="B31" t="str">
        <f t="shared" si="0"/>
        <v/>
      </c>
      <c r="C31" s="155">
        <f>IF(D11="","-",+C30+1)</f>
        <v>2032</v>
      </c>
      <c r="D31" s="164">
        <f>IF(F30+SUM(E$17:E30)=D$10,F30,D$10-SUM(E$17:E30))</f>
        <v>9964873.5890815984</v>
      </c>
      <c r="E31" s="162">
        <f t="shared" si="5"/>
        <v>365342.69710506656</v>
      </c>
      <c r="F31" s="161">
        <f t="shared" si="6"/>
        <v>9599530.8919765316</v>
      </c>
      <c r="G31" s="163">
        <f t="shared" si="7"/>
        <v>1514663.6844050367</v>
      </c>
      <c r="H31" s="145">
        <f t="shared" si="8"/>
        <v>1514663.6844050367</v>
      </c>
      <c r="I31" s="158">
        <f t="shared" si="1"/>
        <v>0</v>
      </c>
      <c r="J31" s="158"/>
      <c r="K31" s="316"/>
      <c r="L31" s="160">
        <f t="shared" si="2"/>
        <v>0</v>
      </c>
      <c r="M31" s="316"/>
      <c r="N31" s="160">
        <f t="shared" si="3"/>
        <v>0</v>
      </c>
      <c r="O31" s="160">
        <f t="shared" si="4"/>
        <v>0</v>
      </c>
      <c r="P31" s="4"/>
    </row>
    <row r="32" spans="2:16">
      <c r="B32" t="str">
        <f t="shared" si="0"/>
        <v/>
      </c>
      <c r="C32" s="155">
        <f>IF(D11="","-",+C31+1)</f>
        <v>2033</v>
      </c>
      <c r="D32" s="164">
        <f>IF(F31+SUM(E$17:E31)=D$10,F31,D$10-SUM(E$17:E31))</f>
        <v>9599530.8919765316</v>
      </c>
      <c r="E32" s="162">
        <f t="shared" si="5"/>
        <v>365342.69710506656</v>
      </c>
      <c r="F32" s="161">
        <f t="shared" si="6"/>
        <v>9234188.1948714647</v>
      </c>
      <c r="G32" s="163">
        <f t="shared" si="7"/>
        <v>1471739.1957249788</v>
      </c>
      <c r="H32" s="145">
        <f t="shared" si="8"/>
        <v>1471739.1957249788</v>
      </c>
      <c r="I32" s="158">
        <f t="shared" si="1"/>
        <v>0</v>
      </c>
      <c r="J32" s="158"/>
      <c r="K32" s="316"/>
      <c r="L32" s="160">
        <f t="shared" si="2"/>
        <v>0</v>
      </c>
      <c r="M32" s="316"/>
      <c r="N32" s="160">
        <f t="shared" si="3"/>
        <v>0</v>
      </c>
      <c r="O32" s="160">
        <f t="shared" si="4"/>
        <v>0</v>
      </c>
      <c r="P32" s="4"/>
    </row>
    <row r="33" spans="2:16">
      <c r="B33" t="str">
        <f t="shared" si="0"/>
        <v/>
      </c>
      <c r="C33" s="155">
        <f>IF(D11="","-",+C32+1)</f>
        <v>2034</v>
      </c>
      <c r="D33" s="164">
        <f>IF(F32+SUM(E$17:E32)=D$10,F32,D$10-SUM(E$17:E32))</f>
        <v>9234188.1948714647</v>
      </c>
      <c r="E33" s="162">
        <f t="shared" si="5"/>
        <v>365342.69710506656</v>
      </c>
      <c r="F33" s="161">
        <f t="shared" si="6"/>
        <v>8868845.4977663979</v>
      </c>
      <c r="G33" s="163">
        <f t="shared" si="7"/>
        <v>1428814.7070449204</v>
      </c>
      <c r="H33" s="145">
        <f t="shared" si="8"/>
        <v>1428814.7070449204</v>
      </c>
      <c r="I33" s="158">
        <f t="shared" si="1"/>
        <v>0</v>
      </c>
      <c r="J33" s="158"/>
      <c r="K33" s="316"/>
      <c r="L33" s="160">
        <f t="shared" si="2"/>
        <v>0</v>
      </c>
      <c r="M33" s="316"/>
      <c r="N33" s="160">
        <f t="shared" si="3"/>
        <v>0</v>
      </c>
      <c r="O33" s="160">
        <f t="shared" si="4"/>
        <v>0</v>
      </c>
      <c r="P33" s="4"/>
    </row>
    <row r="34" spans="2:16">
      <c r="B34" t="str">
        <f t="shared" si="0"/>
        <v/>
      </c>
      <c r="C34" s="155">
        <f>IF(D11="","-",+C33+1)</f>
        <v>2035</v>
      </c>
      <c r="D34" s="164">
        <f>IF(F33+SUM(E$17:E33)=D$10,F33,D$10-SUM(E$17:E33))</f>
        <v>8868845.4977663979</v>
      </c>
      <c r="E34" s="162">
        <f t="shared" si="5"/>
        <v>365342.69710506656</v>
      </c>
      <c r="F34" s="161">
        <f t="shared" si="6"/>
        <v>8503502.800661331</v>
      </c>
      <c r="G34" s="163">
        <f t="shared" si="7"/>
        <v>1385890.2183648623</v>
      </c>
      <c r="H34" s="145">
        <f t="shared" si="8"/>
        <v>1385890.2183648623</v>
      </c>
      <c r="I34" s="158">
        <f t="shared" si="1"/>
        <v>0</v>
      </c>
      <c r="J34" s="158"/>
      <c r="K34" s="316"/>
      <c r="L34" s="160">
        <f t="shared" si="2"/>
        <v>0</v>
      </c>
      <c r="M34" s="316"/>
      <c r="N34" s="160">
        <f t="shared" si="3"/>
        <v>0</v>
      </c>
      <c r="O34" s="160">
        <f t="shared" si="4"/>
        <v>0</v>
      </c>
      <c r="P34" s="4"/>
    </row>
    <row r="35" spans="2:16">
      <c r="B35" t="str">
        <f t="shared" si="0"/>
        <v/>
      </c>
      <c r="C35" s="155">
        <f>IF(D11="","-",+C34+1)</f>
        <v>2036</v>
      </c>
      <c r="D35" s="164">
        <f>IF(F34+SUM(E$17:E34)=D$10,F34,D$10-SUM(E$17:E34))</f>
        <v>8503502.800661331</v>
      </c>
      <c r="E35" s="162">
        <f t="shared" si="5"/>
        <v>365342.69710506656</v>
      </c>
      <c r="F35" s="161">
        <f t="shared" si="6"/>
        <v>8138160.1035562642</v>
      </c>
      <c r="G35" s="163">
        <f t="shared" si="7"/>
        <v>1342965.7296848041</v>
      </c>
      <c r="H35" s="145">
        <f t="shared" si="8"/>
        <v>1342965.7296848041</v>
      </c>
      <c r="I35" s="158">
        <f t="shared" si="1"/>
        <v>0</v>
      </c>
      <c r="J35" s="158"/>
      <c r="K35" s="316"/>
      <c r="L35" s="160">
        <f t="shared" si="2"/>
        <v>0</v>
      </c>
      <c r="M35" s="316"/>
      <c r="N35" s="160">
        <f t="shared" si="3"/>
        <v>0</v>
      </c>
      <c r="O35" s="160">
        <f t="shared" si="4"/>
        <v>0</v>
      </c>
      <c r="P35" s="4"/>
    </row>
    <row r="36" spans="2:16">
      <c r="B36" t="str">
        <f t="shared" si="0"/>
        <v/>
      </c>
      <c r="C36" s="155">
        <f>IF(D11="","-",+C35+1)</f>
        <v>2037</v>
      </c>
      <c r="D36" s="164">
        <f>IF(F35+SUM(E$17:E35)=D$10,F35,D$10-SUM(E$17:E35))</f>
        <v>8138160.1035562642</v>
      </c>
      <c r="E36" s="162">
        <f t="shared" si="5"/>
        <v>365342.69710506656</v>
      </c>
      <c r="F36" s="161">
        <f t="shared" si="6"/>
        <v>7772817.4064511973</v>
      </c>
      <c r="G36" s="163">
        <f t="shared" si="7"/>
        <v>1300041.2410047459</v>
      </c>
      <c r="H36" s="145">
        <f t="shared" si="8"/>
        <v>1300041.2410047459</v>
      </c>
      <c r="I36" s="158">
        <f t="shared" si="1"/>
        <v>0</v>
      </c>
      <c r="J36" s="158"/>
      <c r="K36" s="316"/>
      <c r="L36" s="160">
        <f t="shared" si="2"/>
        <v>0</v>
      </c>
      <c r="M36" s="316"/>
      <c r="N36" s="160">
        <f t="shared" si="3"/>
        <v>0</v>
      </c>
      <c r="O36" s="160">
        <f t="shared" si="4"/>
        <v>0</v>
      </c>
      <c r="P36" s="4"/>
    </row>
    <row r="37" spans="2:16">
      <c r="B37" t="str">
        <f t="shared" si="0"/>
        <v/>
      </c>
      <c r="C37" s="155">
        <f>IF(D11="","-",+C36+1)</f>
        <v>2038</v>
      </c>
      <c r="D37" s="164">
        <f>IF(F36+SUM(E$17:E36)=D$10,F36,D$10-SUM(E$17:E36))</f>
        <v>7772817.4064511973</v>
      </c>
      <c r="E37" s="162">
        <f t="shared" si="5"/>
        <v>365342.69710506656</v>
      </c>
      <c r="F37" s="161">
        <f t="shared" si="6"/>
        <v>7407474.7093461305</v>
      </c>
      <c r="G37" s="163">
        <f t="shared" si="7"/>
        <v>1257116.7523246878</v>
      </c>
      <c r="H37" s="145">
        <f t="shared" si="8"/>
        <v>1257116.7523246878</v>
      </c>
      <c r="I37" s="158">
        <f t="shared" si="1"/>
        <v>0</v>
      </c>
      <c r="J37" s="158"/>
      <c r="K37" s="316"/>
      <c r="L37" s="160">
        <f t="shared" si="2"/>
        <v>0</v>
      </c>
      <c r="M37" s="316"/>
      <c r="N37" s="160">
        <f t="shared" si="3"/>
        <v>0</v>
      </c>
      <c r="O37" s="160">
        <f t="shared" si="4"/>
        <v>0</v>
      </c>
      <c r="P37" s="4"/>
    </row>
    <row r="38" spans="2:16">
      <c r="B38" t="str">
        <f t="shared" si="0"/>
        <v/>
      </c>
      <c r="C38" s="155">
        <f>IF(D11="","-",+C37+1)</f>
        <v>2039</v>
      </c>
      <c r="D38" s="164">
        <f>IF(F37+SUM(E$17:E37)=D$10,F37,D$10-SUM(E$17:E37))</f>
        <v>7407474.7093461305</v>
      </c>
      <c r="E38" s="162">
        <f t="shared" si="5"/>
        <v>365342.69710506656</v>
      </c>
      <c r="F38" s="161">
        <f t="shared" si="6"/>
        <v>7042132.0122410636</v>
      </c>
      <c r="G38" s="163">
        <f t="shared" si="7"/>
        <v>1214192.2636446296</v>
      </c>
      <c r="H38" s="145">
        <f t="shared" si="8"/>
        <v>1214192.2636446296</v>
      </c>
      <c r="I38" s="158">
        <f t="shared" si="1"/>
        <v>0</v>
      </c>
      <c r="J38" s="158"/>
      <c r="K38" s="316"/>
      <c r="L38" s="160">
        <f t="shared" si="2"/>
        <v>0</v>
      </c>
      <c r="M38" s="316"/>
      <c r="N38" s="160">
        <f t="shared" si="3"/>
        <v>0</v>
      </c>
      <c r="O38" s="160">
        <f t="shared" si="4"/>
        <v>0</v>
      </c>
      <c r="P38" s="4"/>
    </row>
    <row r="39" spans="2:16">
      <c r="B39" t="str">
        <f t="shared" si="0"/>
        <v/>
      </c>
      <c r="C39" s="155">
        <f>IF(D11="","-",+C38+1)</f>
        <v>2040</v>
      </c>
      <c r="D39" s="164">
        <f>IF(F38+SUM(E$17:E38)=D$10,F38,D$10-SUM(E$17:E38))</f>
        <v>7042132.0122410636</v>
      </c>
      <c r="E39" s="162">
        <f t="shared" si="5"/>
        <v>365342.69710506656</v>
      </c>
      <c r="F39" s="161">
        <f t="shared" si="6"/>
        <v>6676789.3151359968</v>
      </c>
      <c r="G39" s="163">
        <f t="shared" si="7"/>
        <v>1171267.7749645715</v>
      </c>
      <c r="H39" s="145">
        <f t="shared" si="8"/>
        <v>1171267.7749645715</v>
      </c>
      <c r="I39" s="158">
        <f t="shared" si="1"/>
        <v>0</v>
      </c>
      <c r="J39" s="158"/>
      <c r="K39" s="316"/>
      <c r="L39" s="160">
        <f t="shared" si="2"/>
        <v>0</v>
      </c>
      <c r="M39" s="316"/>
      <c r="N39" s="160">
        <f t="shared" si="3"/>
        <v>0</v>
      </c>
      <c r="O39" s="160">
        <f t="shared" si="4"/>
        <v>0</v>
      </c>
      <c r="P39" s="4"/>
    </row>
    <row r="40" spans="2:16">
      <c r="B40" t="str">
        <f t="shared" si="0"/>
        <v/>
      </c>
      <c r="C40" s="155">
        <f>IF(D11="","-",+C39+1)</f>
        <v>2041</v>
      </c>
      <c r="D40" s="164">
        <f>IF(F39+SUM(E$17:E39)=D$10,F39,D$10-SUM(E$17:E39))</f>
        <v>6676789.3151359968</v>
      </c>
      <c r="E40" s="162">
        <f t="shared" si="5"/>
        <v>365342.69710506656</v>
      </c>
      <c r="F40" s="161">
        <f t="shared" si="6"/>
        <v>6311446.6180309299</v>
      </c>
      <c r="G40" s="163">
        <f t="shared" si="7"/>
        <v>1128343.2862845133</v>
      </c>
      <c r="H40" s="145">
        <f t="shared" si="8"/>
        <v>1128343.2862845133</v>
      </c>
      <c r="I40" s="158">
        <f t="shared" si="1"/>
        <v>0</v>
      </c>
      <c r="J40" s="158"/>
      <c r="K40" s="316"/>
      <c r="L40" s="160">
        <f t="shared" si="2"/>
        <v>0</v>
      </c>
      <c r="M40" s="316"/>
      <c r="N40" s="160">
        <f t="shared" si="3"/>
        <v>0</v>
      </c>
      <c r="O40" s="160">
        <f t="shared" si="4"/>
        <v>0</v>
      </c>
      <c r="P40" s="4"/>
    </row>
    <row r="41" spans="2:16">
      <c r="B41" t="str">
        <f t="shared" si="0"/>
        <v/>
      </c>
      <c r="C41" s="155">
        <f>IF(D11="","-",+C40+1)</f>
        <v>2042</v>
      </c>
      <c r="D41" s="164">
        <f>IF(F40+SUM(E$17:E40)=D$10,F40,D$10-SUM(E$17:E40))</f>
        <v>6311446.6180309299</v>
      </c>
      <c r="E41" s="162">
        <f t="shared" si="5"/>
        <v>365342.69710506656</v>
      </c>
      <c r="F41" s="161">
        <f t="shared" si="6"/>
        <v>5946103.9209258631</v>
      </c>
      <c r="G41" s="163">
        <f t="shared" si="7"/>
        <v>1085418.7976044551</v>
      </c>
      <c r="H41" s="145">
        <f t="shared" si="8"/>
        <v>1085418.7976044551</v>
      </c>
      <c r="I41" s="158">
        <f t="shared" si="1"/>
        <v>0</v>
      </c>
      <c r="J41" s="158"/>
      <c r="K41" s="316"/>
      <c r="L41" s="160">
        <f t="shared" si="2"/>
        <v>0</v>
      </c>
      <c r="M41" s="316"/>
      <c r="N41" s="160">
        <f t="shared" si="3"/>
        <v>0</v>
      </c>
      <c r="O41" s="160">
        <f t="shared" si="4"/>
        <v>0</v>
      </c>
      <c r="P41" s="4"/>
    </row>
    <row r="42" spans="2:16">
      <c r="B42" t="str">
        <f t="shared" si="0"/>
        <v/>
      </c>
      <c r="C42" s="155">
        <f>IF(D11="","-",+C41+1)</f>
        <v>2043</v>
      </c>
      <c r="D42" s="164">
        <f>IF(F41+SUM(E$17:E41)=D$10,F41,D$10-SUM(E$17:E41))</f>
        <v>5946103.9209258631</v>
      </c>
      <c r="E42" s="162">
        <f t="shared" si="5"/>
        <v>365342.69710506656</v>
      </c>
      <c r="F42" s="161">
        <f t="shared" si="6"/>
        <v>5580761.2238207962</v>
      </c>
      <c r="G42" s="163">
        <f t="shared" si="7"/>
        <v>1042494.308924397</v>
      </c>
      <c r="H42" s="145">
        <f t="shared" si="8"/>
        <v>1042494.308924397</v>
      </c>
      <c r="I42" s="158">
        <f t="shared" si="1"/>
        <v>0</v>
      </c>
      <c r="J42" s="158"/>
      <c r="K42" s="316"/>
      <c r="L42" s="160">
        <f t="shared" si="2"/>
        <v>0</v>
      </c>
      <c r="M42" s="316"/>
      <c r="N42" s="160">
        <f t="shared" si="3"/>
        <v>0</v>
      </c>
      <c r="O42" s="160">
        <f t="shared" si="4"/>
        <v>0</v>
      </c>
      <c r="P42" s="4"/>
    </row>
    <row r="43" spans="2:16">
      <c r="B43" t="str">
        <f t="shared" si="0"/>
        <v/>
      </c>
      <c r="C43" s="155">
        <f>IF(D11="","-",+C42+1)</f>
        <v>2044</v>
      </c>
      <c r="D43" s="164">
        <f>IF(F42+SUM(E$17:E42)=D$10,F42,D$10-SUM(E$17:E42))</f>
        <v>5580761.2238207962</v>
      </c>
      <c r="E43" s="162">
        <f t="shared" si="5"/>
        <v>365342.69710506656</v>
      </c>
      <c r="F43" s="161">
        <f t="shared" si="6"/>
        <v>5215418.5267157294</v>
      </c>
      <c r="G43" s="163">
        <f t="shared" si="7"/>
        <v>999569.82024433883</v>
      </c>
      <c r="H43" s="145">
        <f t="shared" si="8"/>
        <v>999569.82024433883</v>
      </c>
      <c r="I43" s="158">
        <f t="shared" si="1"/>
        <v>0</v>
      </c>
      <c r="J43" s="158"/>
      <c r="K43" s="316"/>
      <c r="L43" s="160">
        <f t="shared" si="2"/>
        <v>0</v>
      </c>
      <c r="M43" s="316"/>
      <c r="N43" s="160">
        <f t="shared" si="3"/>
        <v>0</v>
      </c>
      <c r="O43" s="160">
        <f t="shared" si="4"/>
        <v>0</v>
      </c>
      <c r="P43" s="4"/>
    </row>
    <row r="44" spans="2:16">
      <c r="B44" t="str">
        <f t="shared" si="0"/>
        <v/>
      </c>
      <c r="C44" s="155">
        <f>IF(D11="","-",+C43+1)</f>
        <v>2045</v>
      </c>
      <c r="D44" s="164">
        <f>IF(F43+SUM(E$17:E43)=D$10,F43,D$10-SUM(E$17:E43))</f>
        <v>5215418.5267157294</v>
      </c>
      <c r="E44" s="162">
        <f t="shared" si="5"/>
        <v>365342.69710506656</v>
      </c>
      <c r="F44" s="161">
        <f t="shared" si="6"/>
        <v>4850075.8296106625</v>
      </c>
      <c r="G44" s="163">
        <f t="shared" si="7"/>
        <v>956645.33156428067</v>
      </c>
      <c r="H44" s="145">
        <f t="shared" si="8"/>
        <v>956645.33156428067</v>
      </c>
      <c r="I44" s="158">
        <f t="shared" si="1"/>
        <v>0</v>
      </c>
      <c r="J44" s="158"/>
      <c r="K44" s="316"/>
      <c r="L44" s="160">
        <f t="shared" si="2"/>
        <v>0</v>
      </c>
      <c r="M44" s="316"/>
      <c r="N44" s="160">
        <f t="shared" si="3"/>
        <v>0</v>
      </c>
      <c r="O44" s="160">
        <f t="shared" si="4"/>
        <v>0</v>
      </c>
      <c r="P44" s="4"/>
    </row>
    <row r="45" spans="2:16">
      <c r="B45" t="str">
        <f t="shared" si="0"/>
        <v/>
      </c>
      <c r="C45" s="155">
        <f>IF(D11="","-",+C44+1)</f>
        <v>2046</v>
      </c>
      <c r="D45" s="164">
        <f>IF(F44+SUM(E$17:E44)=D$10,F44,D$10-SUM(E$17:E44))</f>
        <v>4850075.8296106625</v>
      </c>
      <c r="E45" s="162">
        <f t="shared" si="5"/>
        <v>365342.69710506656</v>
      </c>
      <c r="F45" s="161">
        <f t="shared" si="6"/>
        <v>4484733.1325055957</v>
      </c>
      <c r="G45" s="163">
        <f t="shared" si="7"/>
        <v>913720.84288422251</v>
      </c>
      <c r="H45" s="145">
        <f t="shared" si="8"/>
        <v>913720.84288422251</v>
      </c>
      <c r="I45" s="158">
        <f t="shared" si="1"/>
        <v>0</v>
      </c>
      <c r="J45" s="158"/>
      <c r="K45" s="316"/>
      <c r="L45" s="160">
        <f t="shared" si="2"/>
        <v>0</v>
      </c>
      <c r="M45" s="316"/>
      <c r="N45" s="160">
        <f t="shared" si="3"/>
        <v>0</v>
      </c>
      <c r="O45" s="160">
        <f t="shared" si="4"/>
        <v>0</v>
      </c>
      <c r="P45" s="4"/>
    </row>
    <row r="46" spans="2:16">
      <c r="B46" t="str">
        <f t="shared" si="0"/>
        <v/>
      </c>
      <c r="C46" s="155">
        <f>IF(D11="","-",+C45+1)</f>
        <v>2047</v>
      </c>
      <c r="D46" s="164">
        <f>IF(F45+SUM(E$17:E45)=D$10,F45,D$10-SUM(E$17:E45))</f>
        <v>4484733.1325055957</v>
      </c>
      <c r="E46" s="162">
        <f t="shared" si="5"/>
        <v>365342.69710506656</v>
      </c>
      <c r="F46" s="161">
        <f t="shared" si="6"/>
        <v>4119390.4354005293</v>
      </c>
      <c r="G46" s="163">
        <f t="shared" si="7"/>
        <v>870796.35420416435</v>
      </c>
      <c r="H46" s="145">
        <f t="shared" si="8"/>
        <v>870796.35420416435</v>
      </c>
      <c r="I46" s="158">
        <f t="shared" si="1"/>
        <v>0</v>
      </c>
      <c r="J46" s="158"/>
      <c r="K46" s="316"/>
      <c r="L46" s="160">
        <f t="shared" si="2"/>
        <v>0</v>
      </c>
      <c r="M46" s="316"/>
      <c r="N46" s="160">
        <f t="shared" si="3"/>
        <v>0</v>
      </c>
      <c r="O46" s="160">
        <f t="shared" si="4"/>
        <v>0</v>
      </c>
      <c r="P46" s="4"/>
    </row>
    <row r="47" spans="2:16">
      <c r="B47" t="str">
        <f t="shared" si="0"/>
        <v/>
      </c>
      <c r="C47" s="155">
        <f>IF(D11="","-",+C46+1)</f>
        <v>2048</v>
      </c>
      <c r="D47" s="164">
        <f>IF(F46+SUM(E$17:E46)=D$10,F46,D$10-SUM(E$17:E46))</f>
        <v>4119390.4354005293</v>
      </c>
      <c r="E47" s="162">
        <f t="shared" si="5"/>
        <v>365342.69710506656</v>
      </c>
      <c r="F47" s="161">
        <f t="shared" si="6"/>
        <v>3754047.7382954629</v>
      </c>
      <c r="G47" s="163">
        <f t="shared" si="7"/>
        <v>827871.86552410631</v>
      </c>
      <c r="H47" s="145">
        <f t="shared" si="8"/>
        <v>827871.86552410631</v>
      </c>
      <c r="I47" s="158">
        <f t="shared" si="1"/>
        <v>0</v>
      </c>
      <c r="J47" s="158"/>
      <c r="K47" s="316"/>
      <c r="L47" s="160">
        <f t="shared" si="2"/>
        <v>0</v>
      </c>
      <c r="M47" s="316"/>
      <c r="N47" s="160">
        <f t="shared" si="3"/>
        <v>0</v>
      </c>
      <c r="O47" s="160">
        <f t="shared" si="4"/>
        <v>0</v>
      </c>
      <c r="P47" s="4"/>
    </row>
    <row r="48" spans="2:16">
      <c r="B48" t="str">
        <f t="shared" si="0"/>
        <v/>
      </c>
      <c r="C48" s="155">
        <f>IF(D11="","-",+C47+1)</f>
        <v>2049</v>
      </c>
      <c r="D48" s="164">
        <f>IF(F47+SUM(E$17:E47)=D$10,F47,D$10-SUM(E$17:E47))</f>
        <v>3754047.7382954629</v>
      </c>
      <c r="E48" s="162">
        <f t="shared" si="5"/>
        <v>365342.69710506656</v>
      </c>
      <c r="F48" s="161">
        <f t="shared" si="6"/>
        <v>3388705.0411903965</v>
      </c>
      <c r="G48" s="163">
        <f t="shared" si="7"/>
        <v>784947.37684404815</v>
      </c>
      <c r="H48" s="145">
        <f t="shared" si="8"/>
        <v>784947.37684404815</v>
      </c>
      <c r="I48" s="158">
        <f t="shared" si="1"/>
        <v>0</v>
      </c>
      <c r="J48" s="158"/>
      <c r="K48" s="316"/>
      <c r="L48" s="160">
        <f t="shared" si="2"/>
        <v>0</v>
      </c>
      <c r="M48" s="316"/>
      <c r="N48" s="160">
        <f t="shared" si="3"/>
        <v>0</v>
      </c>
      <c r="O48" s="160">
        <f t="shared" si="4"/>
        <v>0</v>
      </c>
      <c r="P48" s="4"/>
    </row>
    <row r="49" spans="2:16">
      <c r="B49" t="str">
        <f t="shared" si="0"/>
        <v/>
      </c>
      <c r="C49" s="155">
        <f>IF(D11="","-",+C48+1)</f>
        <v>2050</v>
      </c>
      <c r="D49" s="164">
        <f>IF(F48+SUM(E$17:E48)=D$10,F48,D$10-SUM(E$17:E48))</f>
        <v>3388705.0411903965</v>
      </c>
      <c r="E49" s="162">
        <f t="shared" si="5"/>
        <v>365342.69710506656</v>
      </c>
      <c r="F49" s="161">
        <f t="shared" si="6"/>
        <v>3023362.3440853301</v>
      </c>
      <c r="G49" s="163">
        <f t="shared" si="7"/>
        <v>742022.88816399011</v>
      </c>
      <c r="H49" s="145">
        <f t="shared" si="8"/>
        <v>742022.88816399011</v>
      </c>
      <c r="I49" s="158">
        <f t="shared" si="1"/>
        <v>0</v>
      </c>
      <c r="J49" s="158"/>
      <c r="K49" s="316"/>
      <c r="L49" s="160">
        <f t="shared" si="2"/>
        <v>0</v>
      </c>
      <c r="M49" s="316"/>
      <c r="N49" s="160">
        <f t="shared" si="3"/>
        <v>0</v>
      </c>
      <c r="O49" s="160">
        <f t="shared" si="4"/>
        <v>0</v>
      </c>
      <c r="P49" s="4"/>
    </row>
    <row r="50" spans="2:16">
      <c r="B50" t="str">
        <f t="shared" si="0"/>
        <v/>
      </c>
      <c r="C50" s="155">
        <f>IF(D11="","-",+C49+1)</f>
        <v>2051</v>
      </c>
      <c r="D50" s="164">
        <f>IF(F49+SUM(E$17:E49)=D$10,F49,D$10-SUM(E$17:E49))</f>
        <v>3023362.3440853301</v>
      </c>
      <c r="E50" s="162">
        <f t="shared" si="5"/>
        <v>365342.69710506656</v>
      </c>
      <c r="F50" s="161">
        <f t="shared" si="6"/>
        <v>2658019.6469802638</v>
      </c>
      <c r="G50" s="163">
        <f t="shared" si="7"/>
        <v>699098.39948393195</v>
      </c>
      <c r="H50" s="145">
        <f t="shared" si="8"/>
        <v>699098.39948393195</v>
      </c>
      <c r="I50" s="158">
        <f t="shared" si="1"/>
        <v>0</v>
      </c>
      <c r="J50" s="158"/>
      <c r="K50" s="316"/>
      <c r="L50" s="160">
        <f t="shared" si="2"/>
        <v>0</v>
      </c>
      <c r="M50" s="316"/>
      <c r="N50" s="160">
        <f t="shared" si="3"/>
        <v>0</v>
      </c>
      <c r="O50" s="160">
        <f t="shared" si="4"/>
        <v>0</v>
      </c>
      <c r="P50" s="4"/>
    </row>
    <row r="51" spans="2:16">
      <c r="B51" t="str">
        <f t="shared" si="0"/>
        <v/>
      </c>
      <c r="C51" s="155">
        <f>IF(D11="","-",+C50+1)</f>
        <v>2052</v>
      </c>
      <c r="D51" s="164">
        <f>IF(F50+SUM(E$17:E50)=D$10,F50,D$10-SUM(E$17:E50))</f>
        <v>2658019.6469802638</v>
      </c>
      <c r="E51" s="162">
        <f t="shared" si="5"/>
        <v>365342.69710506656</v>
      </c>
      <c r="F51" s="161">
        <f t="shared" si="6"/>
        <v>2292676.9498751974</v>
      </c>
      <c r="G51" s="163">
        <f t="shared" si="7"/>
        <v>656173.91080387391</v>
      </c>
      <c r="H51" s="145">
        <f t="shared" si="8"/>
        <v>656173.91080387391</v>
      </c>
      <c r="I51" s="158">
        <f t="shared" si="1"/>
        <v>0</v>
      </c>
      <c r="J51" s="158"/>
      <c r="K51" s="316"/>
      <c r="L51" s="160">
        <f t="shared" si="2"/>
        <v>0</v>
      </c>
      <c r="M51" s="316"/>
      <c r="N51" s="160">
        <f t="shared" si="3"/>
        <v>0</v>
      </c>
      <c r="O51" s="160">
        <f t="shared" si="4"/>
        <v>0</v>
      </c>
      <c r="P51" s="4"/>
    </row>
    <row r="52" spans="2:16">
      <c r="B52" t="str">
        <f t="shared" si="0"/>
        <v/>
      </c>
      <c r="C52" s="155">
        <f>IF(D11="","-",+C51+1)</f>
        <v>2053</v>
      </c>
      <c r="D52" s="164">
        <f>IF(F51+SUM(E$17:E51)=D$10,F51,D$10-SUM(E$17:E51))</f>
        <v>2292676.9498751974</v>
      </c>
      <c r="E52" s="162">
        <f t="shared" si="5"/>
        <v>365342.69710506656</v>
      </c>
      <c r="F52" s="161">
        <f t="shared" si="6"/>
        <v>1927334.2527701308</v>
      </c>
      <c r="G52" s="163">
        <f t="shared" si="7"/>
        <v>613249.42212381575</v>
      </c>
      <c r="H52" s="145">
        <f t="shared" si="8"/>
        <v>613249.42212381575</v>
      </c>
      <c r="I52" s="158">
        <f t="shared" si="1"/>
        <v>0</v>
      </c>
      <c r="J52" s="158"/>
      <c r="K52" s="316"/>
      <c r="L52" s="160">
        <f t="shared" si="2"/>
        <v>0</v>
      </c>
      <c r="M52" s="316"/>
      <c r="N52" s="160">
        <f t="shared" si="3"/>
        <v>0</v>
      </c>
      <c r="O52" s="160">
        <f t="shared" si="4"/>
        <v>0</v>
      </c>
      <c r="P52" s="4"/>
    </row>
    <row r="53" spans="2:16">
      <c r="B53" t="str">
        <f t="shared" si="0"/>
        <v/>
      </c>
      <c r="C53" s="155">
        <f>IF(D11="","-",+C52+1)</f>
        <v>2054</v>
      </c>
      <c r="D53" s="164">
        <f>IF(F52+SUM(E$17:E52)=D$10,F52,D$10-SUM(E$17:E52))</f>
        <v>1927334.2527701308</v>
      </c>
      <c r="E53" s="162">
        <f t="shared" si="5"/>
        <v>365342.69710506656</v>
      </c>
      <c r="F53" s="161">
        <f t="shared" si="6"/>
        <v>1561991.5556650641</v>
      </c>
      <c r="G53" s="163">
        <f t="shared" si="7"/>
        <v>570324.93344375771</v>
      </c>
      <c r="H53" s="145">
        <f t="shared" si="8"/>
        <v>570324.93344375771</v>
      </c>
      <c r="I53" s="158">
        <f t="shared" si="1"/>
        <v>0</v>
      </c>
      <c r="J53" s="158"/>
      <c r="K53" s="316"/>
      <c r="L53" s="160">
        <f t="shared" si="2"/>
        <v>0</v>
      </c>
      <c r="M53" s="316"/>
      <c r="N53" s="160">
        <f t="shared" si="3"/>
        <v>0</v>
      </c>
      <c r="O53" s="160">
        <f t="shared" si="4"/>
        <v>0</v>
      </c>
      <c r="P53" s="4"/>
    </row>
    <row r="54" spans="2:16">
      <c r="B54" t="str">
        <f t="shared" si="0"/>
        <v/>
      </c>
      <c r="C54" s="155">
        <f>IF(D11="","-",+C53+1)</f>
        <v>2055</v>
      </c>
      <c r="D54" s="164">
        <f>IF(F53+SUM(E$17:E53)=D$10,F53,D$10-SUM(E$17:E53))</f>
        <v>1561991.5556650641</v>
      </c>
      <c r="E54" s="162">
        <f t="shared" si="5"/>
        <v>365342.69710506656</v>
      </c>
      <c r="F54" s="161">
        <f t="shared" si="6"/>
        <v>1196648.8585599975</v>
      </c>
      <c r="G54" s="163">
        <f t="shared" si="7"/>
        <v>527400.44476369955</v>
      </c>
      <c r="H54" s="145">
        <f t="shared" si="8"/>
        <v>527400.44476369955</v>
      </c>
      <c r="I54" s="158">
        <f t="shared" si="1"/>
        <v>0</v>
      </c>
      <c r="J54" s="158"/>
      <c r="K54" s="316"/>
      <c r="L54" s="160">
        <f t="shared" si="2"/>
        <v>0</v>
      </c>
      <c r="M54" s="316"/>
      <c r="N54" s="160">
        <f t="shared" si="3"/>
        <v>0</v>
      </c>
      <c r="O54" s="160">
        <f t="shared" si="4"/>
        <v>0</v>
      </c>
      <c r="P54" s="4"/>
    </row>
    <row r="55" spans="2:16">
      <c r="B55" t="str">
        <f t="shared" si="0"/>
        <v/>
      </c>
      <c r="C55" s="155">
        <f>IF(D11="","-",+C54+1)</f>
        <v>2056</v>
      </c>
      <c r="D55" s="164">
        <f>IF(F54+SUM(E$17:E54)=D$10,F54,D$10-SUM(E$17:E54))</f>
        <v>1196648.8585599975</v>
      </c>
      <c r="E55" s="162">
        <f t="shared" si="5"/>
        <v>365342.69710506656</v>
      </c>
      <c r="F55" s="161">
        <f t="shared" si="6"/>
        <v>831306.1614549309</v>
      </c>
      <c r="G55" s="163">
        <f t="shared" si="7"/>
        <v>484475.95608364139</v>
      </c>
      <c r="H55" s="145">
        <f t="shared" si="8"/>
        <v>484475.95608364139</v>
      </c>
      <c r="I55" s="158">
        <f t="shared" si="1"/>
        <v>0</v>
      </c>
      <c r="J55" s="158"/>
      <c r="K55" s="316"/>
      <c r="L55" s="160">
        <f t="shared" si="2"/>
        <v>0</v>
      </c>
      <c r="M55" s="316"/>
      <c r="N55" s="160">
        <f t="shared" si="3"/>
        <v>0</v>
      </c>
      <c r="O55" s="160">
        <f t="shared" si="4"/>
        <v>0</v>
      </c>
      <c r="P55" s="4"/>
    </row>
    <row r="56" spans="2:16">
      <c r="B56" t="str">
        <f t="shared" si="0"/>
        <v/>
      </c>
      <c r="C56" s="155">
        <f>IF(D11="","-",+C55+1)</f>
        <v>2057</v>
      </c>
      <c r="D56" s="164">
        <f>IF(F55+SUM(E$17:E55)=D$10,F55,D$10-SUM(E$17:E55))</f>
        <v>831306.1614549309</v>
      </c>
      <c r="E56" s="162">
        <f t="shared" si="5"/>
        <v>365342.69710506656</v>
      </c>
      <c r="F56" s="161">
        <f t="shared" si="6"/>
        <v>465963.46434986434</v>
      </c>
      <c r="G56" s="163">
        <f t="shared" si="7"/>
        <v>441551.46740358329</v>
      </c>
      <c r="H56" s="145">
        <f t="shared" si="8"/>
        <v>441551.46740358329</v>
      </c>
      <c r="I56" s="158">
        <f t="shared" si="1"/>
        <v>0</v>
      </c>
      <c r="J56" s="158"/>
      <c r="K56" s="316"/>
      <c r="L56" s="160">
        <f t="shared" si="2"/>
        <v>0</v>
      </c>
      <c r="M56" s="316"/>
      <c r="N56" s="160">
        <f t="shared" si="3"/>
        <v>0</v>
      </c>
      <c r="O56" s="160">
        <f t="shared" si="4"/>
        <v>0</v>
      </c>
      <c r="P56" s="4"/>
    </row>
    <row r="57" spans="2:16">
      <c r="B57" t="str">
        <f t="shared" si="0"/>
        <v/>
      </c>
      <c r="C57" s="155">
        <f>IF(D11="","-",+C56+1)</f>
        <v>2058</v>
      </c>
      <c r="D57" s="164">
        <f>IF(F56+SUM(E$17:E56)=D$10,F56,D$10-SUM(E$17:E56))</f>
        <v>465963.46434986434</v>
      </c>
      <c r="E57" s="162">
        <f t="shared" si="5"/>
        <v>365342.69710506656</v>
      </c>
      <c r="F57" s="161">
        <f t="shared" si="6"/>
        <v>100620.76724479778</v>
      </c>
      <c r="G57" s="163">
        <f t="shared" si="7"/>
        <v>398626.97872352519</v>
      </c>
      <c r="H57" s="145">
        <f t="shared" si="8"/>
        <v>398626.97872352519</v>
      </c>
      <c r="I57" s="158">
        <f t="shared" si="1"/>
        <v>0</v>
      </c>
      <c r="J57" s="158"/>
      <c r="K57" s="316"/>
      <c r="L57" s="160">
        <f t="shared" si="2"/>
        <v>0</v>
      </c>
      <c r="M57" s="316"/>
      <c r="N57" s="160">
        <f t="shared" si="3"/>
        <v>0</v>
      </c>
      <c r="O57" s="160">
        <f t="shared" si="4"/>
        <v>0</v>
      </c>
      <c r="P57" s="4"/>
    </row>
    <row r="58" spans="2:16">
      <c r="B58" t="str">
        <f t="shared" si="0"/>
        <v/>
      </c>
      <c r="C58" s="155">
        <f>IF(D11="","-",+C57+1)</f>
        <v>2059</v>
      </c>
      <c r="D58" s="164">
        <f>IF(F57+SUM(E$17:E57)=D$10,F57,D$10-SUM(E$17:E57))</f>
        <v>100620.76724479778</v>
      </c>
      <c r="E58" s="162">
        <f t="shared" si="5"/>
        <v>100620.76724479778</v>
      </c>
      <c r="F58" s="161">
        <f t="shared" si="6"/>
        <v>0</v>
      </c>
      <c r="G58" s="163">
        <f t="shared" si="7"/>
        <v>106531.78588401254</v>
      </c>
      <c r="H58" s="145">
        <f t="shared" si="8"/>
        <v>106531.78588401254</v>
      </c>
      <c r="I58" s="158">
        <f t="shared" si="1"/>
        <v>0</v>
      </c>
      <c r="J58" s="158"/>
      <c r="K58" s="316"/>
      <c r="L58" s="160">
        <f t="shared" si="2"/>
        <v>0</v>
      </c>
      <c r="M58" s="316"/>
      <c r="N58" s="160">
        <f t="shared" si="3"/>
        <v>0</v>
      </c>
      <c r="O58" s="160">
        <f t="shared" si="4"/>
        <v>0</v>
      </c>
      <c r="P58" s="4"/>
    </row>
    <row r="59" spans="2:16">
      <c r="B59" t="str">
        <f t="shared" si="0"/>
        <v/>
      </c>
      <c r="C59" s="155">
        <f>IF(D11="","-",+C58+1)</f>
        <v>2060</v>
      </c>
      <c r="D59" s="164">
        <f>IF(F58+SUM(E$17:E58)=D$10,F58,D$10-SUM(E$17:E58))</f>
        <v>0</v>
      </c>
      <c r="E59" s="162">
        <f t="shared" si="5"/>
        <v>0</v>
      </c>
      <c r="F59" s="161">
        <f t="shared" si="6"/>
        <v>0</v>
      </c>
      <c r="G59" s="163">
        <f t="shared" si="7"/>
        <v>0</v>
      </c>
      <c r="H59" s="145">
        <f t="shared" si="8"/>
        <v>0</v>
      </c>
      <c r="I59" s="158">
        <f t="shared" si="1"/>
        <v>0</v>
      </c>
      <c r="J59" s="158"/>
      <c r="K59" s="316"/>
      <c r="L59" s="160">
        <f t="shared" si="2"/>
        <v>0</v>
      </c>
      <c r="M59" s="316"/>
      <c r="N59" s="160">
        <f t="shared" si="3"/>
        <v>0</v>
      </c>
      <c r="O59" s="160">
        <f t="shared" si="4"/>
        <v>0</v>
      </c>
      <c r="P59" s="4"/>
    </row>
    <row r="60" spans="2:16">
      <c r="B60" t="str">
        <f t="shared" si="0"/>
        <v/>
      </c>
      <c r="C60" s="155">
        <f>IF(D11="","-",+C59+1)</f>
        <v>2061</v>
      </c>
      <c r="D60" s="164">
        <f>IF(F59+SUM(E$17:E59)=D$10,F59,D$10-SUM(E$17:E59))</f>
        <v>0</v>
      </c>
      <c r="E60" s="162">
        <f t="shared" si="5"/>
        <v>0</v>
      </c>
      <c r="F60" s="161">
        <f t="shared" si="6"/>
        <v>0</v>
      </c>
      <c r="G60" s="163">
        <f t="shared" si="7"/>
        <v>0</v>
      </c>
      <c r="H60" s="145">
        <f t="shared" si="8"/>
        <v>0</v>
      </c>
      <c r="I60" s="158">
        <f t="shared" si="1"/>
        <v>0</v>
      </c>
      <c r="J60" s="158"/>
      <c r="K60" s="316"/>
      <c r="L60" s="160">
        <f t="shared" si="2"/>
        <v>0</v>
      </c>
      <c r="M60" s="316"/>
      <c r="N60" s="160">
        <f t="shared" si="3"/>
        <v>0</v>
      </c>
      <c r="O60" s="160">
        <f t="shared" si="4"/>
        <v>0</v>
      </c>
      <c r="P60" s="4"/>
    </row>
    <row r="61" spans="2:16">
      <c r="B61" t="str">
        <f t="shared" si="0"/>
        <v/>
      </c>
      <c r="C61" s="155">
        <f>IF(D11="","-",+C60+1)</f>
        <v>2062</v>
      </c>
      <c r="D61" s="164">
        <f>IF(F60+SUM(E$17:E60)=D$10,F60,D$10-SUM(E$17:E60))</f>
        <v>0</v>
      </c>
      <c r="E61" s="162">
        <f t="shared" si="5"/>
        <v>0</v>
      </c>
      <c r="F61" s="161">
        <f t="shared" si="6"/>
        <v>0</v>
      </c>
      <c r="G61" s="165">
        <f t="shared" si="7"/>
        <v>0</v>
      </c>
      <c r="H61" s="145">
        <f t="shared" si="8"/>
        <v>0</v>
      </c>
      <c r="I61" s="158">
        <f t="shared" si="1"/>
        <v>0</v>
      </c>
      <c r="J61" s="158"/>
      <c r="K61" s="316"/>
      <c r="L61" s="160">
        <f t="shared" si="2"/>
        <v>0</v>
      </c>
      <c r="M61" s="316"/>
      <c r="N61" s="160">
        <f t="shared" si="3"/>
        <v>0</v>
      </c>
      <c r="O61" s="160">
        <f t="shared" si="4"/>
        <v>0</v>
      </c>
      <c r="P61" s="4"/>
    </row>
    <row r="62" spans="2:16">
      <c r="B62" t="str">
        <f t="shared" si="0"/>
        <v/>
      </c>
      <c r="C62" s="155">
        <f>IF(D11="","-",+C61+1)</f>
        <v>2063</v>
      </c>
      <c r="D62" s="164">
        <f>IF(F61+SUM(E$17:E61)=D$10,F61,D$10-SUM(E$17:E61))</f>
        <v>0</v>
      </c>
      <c r="E62" s="162">
        <f t="shared" si="5"/>
        <v>0</v>
      </c>
      <c r="F62" s="161">
        <f t="shared" si="6"/>
        <v>0</v>
      </c>
      <c r="G62" s="165">
        <f t="shared" si="7"/>
        <v>0</v>
      </c>
      <c r="H62" s="145">
        <f t="shared" si="8"/>
        <v>0</v>
      </c>
      <c r="I62" s="158">
        <f t="shared" si="1"/>
        <v>0</v>
      </c>
      <c r="J62" s="158"/>
      <c r="K62" s="316"/>
      <c r="L62" s="160">
        <f t="shared" si="2"/>
        <v>0</v>
      </c>
      <c r="M62" s="316"/>
      <c r="N62" s="160">
        <f t="shared" si="3"/>
        <v>0</v>
      </c>
      <c r="O62" s="160">
        <f t="shared" si="4"/>
        <v>0</v>
      </c>
      <c r="P62" s="4"/>
    </row>
    <row r="63" spans="2:16">
      <c r="B63" t="str">
        <f t="shared" si="0"/>
        <v/>
      </c>
      <c r="C63" s="155">
        <f>IF(D11="","-",+C62+1)</f>
        <v>2064</v>
      </c>
      <c r="D63" s="164">
        <f>IF(F62+SUM(E$17:E62)=D$10,F62,D$10-SUM(E$17:E62))</f>
        <v>0</v>
      </c>
      <c r="E63" s="162">
        <f t="shared" si="5"/>
        <v>0</v>
      </c>
      <c r="F63" s="161">
        <f t="shared" si="6"/>
        <v>0</v>
      </c>
      <c r="G63" s="165">
        <f t="shared" si="7"/>
        <v>0</v>
      </c>
      <c r="H63" s="145">
        <f t="shared" si="8"/>
        <v>0</v>
      </c>
      <c r="I63" s="158">
        <f t="shared" si="1"/>
        <v>0</v>
      </c>
      <c r="J63" s="158"/>
      <c r="K63" s="316"/>
      <c r="L63" s="160">
        <f t="shared" si="2"/>
        <v>0</v>
      </c>
      <c r="M63" s="316"/>
      <c r="N63" s="160">
        <f t="shared" si="3"/>
        <v>0</v>
      </c>
      <c r="O63" s="160">
        <f t="shared" si="4"/>
        <v>0</v>
      </c>
      <c r="P63" s="4"/>
    </row>
    <row r="64" spans="2:16">
      <c r="B64" t="str">
        <f t="shared" si="0"/>
        <v/>
      </c>
      <c r="C64" s="155">
        <f>IF(D11="","-",+C63+1)</f>
        <v>2065</v>
      </c>
      <c r="D64" s="164">
        <f>IF(F63+SUM(E$17:E63)=D$10,F63,D$10-SUM(E$17:E63))</f>
        <v>0</v>
      </c>
      <c r="E64" s="162">
        <f t="shared" si="5"/>
        <v>0</v>
      </c>
      <c r="F64" s="161">
        <f t="shared" si="6"/>
        <v>0</v>
      </c>
      <c r="G64" s="165">
        <f t="shared" si="7"/>
        <v>0</v>
      </c>
      <c r="H64" s="145">
        <f t="shared" si="8"/>
        <v>0</v>
      </c>
      <c r="I64" s="158">
        <f t="shared" si="1"/>
        <v>0</v>
      </c>
      <c r="J64" s="158"/>
      <c r="K64" s="316"/>
      <c r="L64" s="160">
        <f t="shared" si="2"/>
        <v>0</v>
      </c>
      <c r="M64" s="316"/>
      <c r="N64" s="160">
        <f t="shared" si="3"/>
        <v>0</v>
      </c>
      <c r="O64" s="160">
        <f t="shared" si="4"/>
        <v>0</v>
      </c>
      <c r="P64" s="4"/>
    </row>
    <row r="65" spans="2:16">
      <c r="B65" t="str">
        <f t="shared" si="0"/>
        <v/>
      </c>
      <c r="C65" s="155">
        <f>IF(D11="","-",+C64+1)</f>
        <v>2066</v>
      </c>
      <c r="D65" s="164">
        <f>IF(F64+SUM(E$17:E64)=D$10,F64,D$10-SUM(E$17:E64))</f>
        <v>0</v>
      </c>
      <c r="E65" s="162">
        <f t="shared" si="5"/>
        <v>0</v>
      </c>
      <c r="F65" s="161">
        <f t="shared" si="6"/>
        <v>0</v>
      </c>
      <c r="G65" s="165">
        <f t="shared" si="7"/>
        <v>0</v>
      </c>
      <c r="H65" s="145">
        <f t="shared" si="8"/>
        <v>0</v>
      </c>
      <c r="I65" s="158">
        <f t="shared" si="1"/>
        <v>0</v>
      </c>
      <c r="J65" s="158"/>
      <c r="K65" s="316"/>
      <c r="L65" s="160">
        <f t="shared" si="2"/>
        <v>0</v>
      </c>
      <c r="M65" s="316"/>
      <c r="N65" s="160">
        <f t="shared" si="3"/>
        <v>0</v>
      </c>
      <c r="O65" s="160">
        <f t="shared" si="4"/>
        <v>0</v>
      </c>
      <c r="P65" s="4"/>
    </row>
    <row r="66" spans="2:16">
      <c r="B66" t="str">
        <f t="shared" si="0"/>
        <v/>
      </c>
      <c r="C66" s="155">
        <f>IF(D11="","-",+C65+1)</f>
        <v>2067</v>
      </c>
      <c r="D66" s="164">
        <f>IF(F65+SUM(E$17:E65)=D$10,F65,D$10-SUM(E$17:E65))</f>
        <v>0</v>
      </c>
      <c r="E66" s="162">
        <f t="shared" si="5"/>
        <v>0</v>
      </c>
      <c r="F66" s="161">
        <f t="shared" si="6"/>
        <v>0</v>
      </c>
      <c r="G66" s="165">
        <f t="shared" si="7"/>
        <v>0</v>
      </c>
      <c r="H66" s="145">
        <f t="shared" si="8"/>
        <v>0</v>
      </c>
      <c r="I66" s="158">
        <f t="shared" si="1"/>
        <v>0</v>
      </c>
      <c r="J66" s="158"/>
      <c r="K66" s="316"/>
      <c r="L66" s="160">
        <f t="shared" si="2"/>
        <v>0</v>
      </c>
      <c r="M66" s="316"/>
      <c r="N66" s="160">
        <f t="shared" si="3"/>
        <v>0</v>
      </c>
      <c r="O66" s="160">
        <f t="shared" si="4"/>
        <v>0</v>
      </c>
      <c r="P66" s="4"/>
    </row>
    <row r="67" spans="2:16">
      <c r="B67" t="str">
        <f t="shared" si="0"/>
        <v/>
      </c>
      <c r="C67" s="155">
        <f>IF(D11="","-",+C66+1)</f>
        <v>2068</v>
      </c>
      <c r="D67" s="164">
        <f>IF(F66+SUM(E$17:E66)=D$10,F66,D$10-SUM(E$17:E66))</f>
        <v>0</v>
      </c>
      <c r="E67" s="162">
        <f t="shared" si="5"/>
        <v>0</v>
      </c>
      <c r="F67" s="161">
        <f t="shared" si="6"/>
        <v>0</v>
      </c>
      <c r="G67" s="165">
        <f t="shared" si="7"/>
        <v>0</v>
      </c>
      <c r="H67" s="145">
        <f t="shared" si="8"/>
        <v>0</v>
      </c>
      <c r="I67" s="158">
        <f t="shared" si="1"/>
        <v>0</v>
      </c>
      <c r="J67" s="158"/>
      <c r="K67" s="316"/>
      <c r="L67" s="160">
        <f t="shared" si="2"/>
        <v>0</v>
      </c>
      <c r="M67" s="316"/>
      <c r="N67" s="160">
        <f t="shared" si="3"/>
        <v>0</v>
      </c>
      <c r="O67" s="160">
        <f t="shared" si="4"/>
        <v>0</v>
      </c>
      <c r="P67" s="4"/>
    </row>
    <row r="68" spans="2:16">
      <c r="B68" t="str">
        <f t="shared" si="0"/>
        <v/>
      </c>
      <c r="C68" s="155">
        <f>IF(D11="","-",+C67+1)</f>
        <v>2069</v>
      </c>
      <c r="D68" s="164">
        <f>IF(F67+SUM(E$17:E67)=D$10,F67,D$10-SUM(E$17:E67))</f>
        <v>0</v>
      </c>
      <c r="E68" s="162">
        <f t="shared" si="5"/>
        <v>0</v>
      </c>
      <c r="F68" s="161">
        <f t="shared" si="6"/>
        <v>0</v>
      </c>
      <c r="G68" s="165">
        <f t="shared" si="7"/>
        <v>0</v>
      </c>
      <c r="H68" s="145">
        <f t="shared" si="8"/>
        <v>0</v>
      </c>
      <c r="I68" s="158">
        <f t="shared" si="1"/>
        <v>0</v>
      </c>
      <c r="J68" s="158"/>
      <c r="K68" s="316"/>
      <c r="L68" s="160">
        <f t="shared" si="2"/>
        <v>0</v>
      </c>
      <c r="M68" s="316"/>
      <c r="N68" s="160">
        <f t="shared" si="3"/>
        <v>0</v>
      </c>
      <c r="O68" s="160">
        <f t="shared" si="4"/>
        <v>0</v>
      </c>
      <c r="P68" s="4"/>
    </row>
    <row r="69" spans="2:16">
      <c r="B69" t="str">
        <f t="shared" si="0"/>
        <v/>
      </c>
      <c r="C69" s="155">
        <f>IF(D11="","-",+C68+1)</f>
        <v>2070</v>
      </c>
      <c r="D69" s="164">
        <f>IF(F68+SUM(E$17:E68)=D$10,F68,D$10-SUM(E$17:E68))</f>
        <v>0</v>
      </c>
      <c r="E69" s="162">
        <f t="shared" si="5"/>
        <v>0</v>
      </c>
      <c r="F69" s="161">
        <f t="shared" si="6"/>
        <v>0</v>
      </c>
      <c r="G69" s="165">
        <f t="shared" si="7"/>
        <v>0</v>
      </c>
      <c r="H69" s="145">
        <f t="shared" si="8"/>
        <v>0</v>
      </c>
      <c r="I69" s="158">
        <f t="shared" si="1"/>
        <v>0</v>
      </c>
      <c r="J69" s="158"/>
      <c r="K69" s="316"/>
      <c r="L69" s="160">
        <f t="shared" si="2"/>
        <v>0</v>
      </c>
      <c r="M69" s="316"/>
      <c r="N69" s="160">
        <f t="shared" si="3"/>
        <v>0</v>
      </c>
      <c r="O69" s="160">
        <f t="shared" si="4"/>
        <v>0</v>
      </c>
      <c r="P69" s="4"/>
    </row>
    <row r="70" spans="2:16">
      <c r="B70" t="str">
        <f t="shared" si="0"/>
        <v/>
      </c>
      <c r="C70" s="155">
        <f>IF(D11="","-",+C69+1)</f>
        <v>2071</v>
      </c>
      <c r="D70" s="164">
        <f>IF(F69+SUM(E$17:E69)=D$10,F69,D$10-SUM(E$17:E69))</f>
        <v>0</v>
      </c>
      <c r="E70" s="162">
        <f t="shared" si="5"/>
        <v>0</v>
      </c>
      <c r="F70" s="161">
        <f t="shared" si="6"/>
        <v>0</v>
      </c>
      <c r="G70" s="165">
        <f t="shared" si="7"/>
        <v>0</v>
      </c>
      <c r="H70" s="145">
        <f t="shared" si="8"/>
        <v>0</v>
      </c>
      <c r="I70" s="158">
        <f t="shared" si="1"/>
        <v>0</v>
      </c>
      <c r="J70" s="158"/>
      <c r="K70" s="316"/>
      <c r="L70" s="160">
        <f t="shared" si="2"/>
        <v>0</v>
      </c>
      <c r="M70" s="316"/>
      <c r="N70" s="160">
        <f t="shared" si="3"/>
        <v>0</v>
      </c>
      <c r="O70" s="160">
        <f t="shared" si="4"/>
        <v>0</v>
      </c>
      <c r="P70" s="4"/>
    </row>
    <row r="71" spans="2:16">
      <c r="B71" t="str">
        <f t="shared" si="0"/>
        <v/>
      </c>
      <c r="C71" s="155">
        <f>IF(D11="","-",+C70+1)</f>
        <v>2072</v>
      </c>
      <c r="D71" s="164">
        <f>IF(F70+SUM(E$17:E70)=D$10,F70,D$10-SUM(E$17:E70))</f>
        <v>0</v>
      </c>
      <c r="E71" s="162">
        <f t="shared" si="5"/>
        <v>0</v>
      </c>
      <c r="F71" s="161">
        <f t="shared" si="6"/>
        <v>0</v>
      </c>
      <c r="G71" s="165">
        <f t="shared" si="7"/>
        <v>0</v>
      </c>
      <c r="H71" s="145">
        <f t="shared" si="8"/>
        <v>0</v>
      </c>
      <c r="I71" s="158">
        <f t="shared" si="1"/>
        <v>0</v>
      </c>
      <c r="J71" s="158"/>
      <c r="K71" s="316"/>
      <c r="L71" s="160">
        <f t="shared" si="2"/>
        <v>0</v>
      </c>
      <c r="M71" s="316"/>
      <c r="N71" s="160">
        <f t="shared" si="3"/>
        <v>0</v>
      </c>
      <c r="O71" s="160">
        <f t="shared" si="4"/>
        <v>0</v>
      </c>
      <c r="P71" s="4"/>
    </row>
    <row r="72" spans="2:16">
      <c r="C72" s="155">
        <f>IF(D12="","-",+C71+1)</f>
        <v>2073</v>
      </c>
      <c r="D72" s="164">
        <f>IF(F71+SUM(E$17:E71)=D$10,F71,D$10-SUM(E$17:E71))</f>
        <v>0</v>
      </c>
      <c r="E72" s="162">
        <f>IF(+I$14&lt;F71,I$14,D72)</f>
        <v>0</v>
      </c>
      <c r="F72" s="161">
        <f>+D72-E72</f>
        <v>0</v>
      </c>
      <c r="G72" s="165">
        <f>(D72+F72)/2*I$12+E72</f>
        <v>0</v>
      </c>
      <c r="H72" s="145">
        <f>+(D72+F72)/2*I$13+E72</f>
        <v>0</v>
      </c>
      <c r="I72" s="158">
        <f>H72-G72</f>
        <v>0</v>
      </c>
      <c r="J72" s="158"/>
      <c r="K72" s="316"/>
      <c r="L72" s="160">
        <f>IF(K72&lt;&gt;0,+G72-K72,0)</f>
        <v>0</v>
      </c>
      <c r="M72" s="316"/>
      <c r="N72" s="160">
        <f>IF(M72&lt;&gt;0,+H72-M72,0)</f>
        <v>0</v>
      </c>
      <c r="O72" s="160">
        <f>+N72-L72</f>
        <v>0</v>
      </c>
      <c r="P72" s="4"/>
    </row>
    <row r="73" spans="2:16" ht="13.5" thickBot="1">
      <c r="B73" t="str">
        <f>IF(D73=F71,"","IU")</f>
        <v/>
      </c>
      <c r="C73" s="166">
        <f>IF(D13="","-",+C72+1)</f>
        <v>2074</v>
      </c>
      <c r="D73" s="168">
        <f>IF(F72+SUM(E$17:E72)=D$10,F72,D$10-SUM(E$17:E72))</f>
        <v>0</v>
      </c>
      <c r="E73" s="168">
        <f>IF(+I$14&lt;F72,I$14,D73)</f>
        <v>0</v>
      </c>
      <c r="F73" s="167">
        <f>+D73-E73</f>
        <v>0</v>
      </c>
      <c r="G73" s="169">
        <f>(D73+F73)/2*I$12+E73</f>
        <v>0</v>
      </c>
      <c r="H73" s="127">
        <f>+(D73+F73)/2*I$13+E73</f>
        <v>0</v>
      </c>
      <c r="I73" s="170">
        <f>H73-G73</f>
        <v>0</v>
      </c>
      <c r="J73" s="158"/>
      <c r="K73" s="317"/>
      <c r="L73" s="171">
        <f>IF(K73&lt;&gt;0,+G73-K73,0)</f>
        <v>0</v>
      </c>
      <c r="M73" s="317"/>
      <c r="N73" s="171">
        <f>IF(M73&lt;&gt;0,+H73-M73,0)</f>
        <v>0</v>
      </c>
      <c r="O73" s="171">
        <f>+N73-L73</f>
        <v>0</v>
      </c>
      <c r="P73" s="4"/>
    </row>
    <row r="74" spans="2:16">
      <c r="C74" s="156" t="s">
        <v>75</v>
      </c>
      <c r="D74" s="112"/>
      <c r="E74" s="112">
        <f>SUM(E17:E73)</f>
        <v>14897000</v>
      </c>
      <c r="F74" s="112"/>
      <c r="G74" s="112">
        <f>SUM(G17:G73)</f>
        <v>50579784.246063277</v>
      </c>
      <c r="H74" s="112">
        <f>SUM(H17:H73)</f>
        <v>50579784.246063277</v>
      </c>
      <c r="I74" s="112">
        <f>SUM(I17:I73)</f>
        <v>0</v>
      </c>
      <c r="J74" s="112"/>
      <c r="K74" s="112"/>
      <c r="L74" s="112"/>
      <c r="M74" s="112"/>
      <c r="N74" s="112"/>
      <c r="O74" s="4"/>
      <c r="P74" s="4"/>
    </row>
    <row r="75" spans="2:16">
      <c r="D75" s="2"/>
      <c r="E75" s="1"/>
      <c r="F75" s="1"/>
      <c r="G75" s="1"/>
      <c r="H75" s="3"/>
      <c r="I75" s="3"/>
      <c r="J75" s="112"/>
      <c r="K75" s="3"/>
      <c r="L75" s="3"/>
      <c r="M75" s="3"/>
      <c r="N75" s="3"/>
      <c r="O75" s="1"/>
      <c r="P75" s="1"/>
    </row>
    <row r="76" spans="2:16">
      <c r="C76" s="172" t="s">
        <v>95</v>
      </c>
      <c r="D76" s="2"/>
      <c r="E76" s="1"/>
      <c r="F76" s="1"/>
      <c r="G76" s="1"/>
      <c r="H76" s="3"/>
      <c r="I76" s="3"/>
      <c r="J76" s="112"/>
      <c r="K76" s="3"/>
      <c r="L76" s="3"/>
      <c r="M76" s="3"/>
      <c r="N76" s="3"/>
      <c r="O76" s="1"/>
      <c r="P76" s="1"/>
    </row>
    <row r="77" spans="2:16">
      <c r="C77" s="124" t="s">
        <v>76</v>
      </c>
      <c r="D77" s="2"/>
      <c r="E77" s="1"/>
      <c r="F77" s="1"/>
      <c r="G77" s="1"/>
      <c r="H77" s="3"/>
      <c r="I77" s="3"/>
      <c r="J77" s="112"/>
      <c r="K77" s="3"/>
      <c r="L77" s="3"/>
      <c r="M77" s="3"/>
      <c r="N77" s="3"/>
      <c r="O77" s="4"/>
      <c r="P77" s="4"/>
    </row>
    <row r="78" spans="2:16">
      <c r="C78" s="124" t="s">
        <v>77</v>
      </c>
      <c r="D78" s="156"/>
      <c r="E78" s="156"/>
      <c r="F78" s="156"/>
      <c r="G78" s="112"/>
      <c r="H78" s="112"/>
      <c r="I78" s="173"/>
      <c r="J78" s="173"/>
      <c r="K78" s="173"/>
      <c r="L78" s="173"/>
      <c r="M78" s="173"/>
      <c r="N78" s="173"/>
      <c r="O78" s="4"/>
      <c r="P78" s="4"/>
    </row>
    <row r="79" spans="2:16">
      <c r="C79" s="124"/>
      <c r="D79" s="156"/>
      <c r="E79" s="156"/>
      <c r="F79" s="156"/>
      <c r="G79" s="112"/>
      <c r="H79" s="112"/>
      <c r="I79" s="173"/>
      <c r="J79" s="173"/>
      <c r="K79" s="173"/>
      <c r="L79" s="173"/>
      <c r="M79" s="173"/>
      <c r="N79" s="173"/>
      <c r="O79" s="4"/>
      <c r="P79" s="1"/>
    </row>
    <row r="80" spans="2:16">
      <c r="B80" s="1"/>
      <c r="C80" s="23"/>
      <c r="D80" s="2"/>
      <c r="E80" s="1"/>
      <c r="F80" s="108"/>
      <c r="G80" s="1"/>
      <c r="H80" s="3"/>
      <c r="I80" s="1"/>
      <c r="J80" s="4"/>
      <c r="K80" s="1"/>
      <c r="L80" s="1"/>
      <c r="M80" s="1"/>
      <c r="N80" s="1"/>
      <c r="O80" s="1"/>
      <c r="P80" s="1"/>
    </row>
    <row r="81" spans="1:16" ht="18">
      <c r="B81" s="1"/>
      <c r="C81" s="239"/>
      <c r="D81" s="2"/>
      <c r="E81" s="1"/>
      <c r="F81" s="108"/>
      <c r="G81" s="1"/>
      <c r="H81" s="3"/>
      <c r="I81" s="1"/>
      <c r="J81" s="4"/>
      <c r="K81" s="1"/>
      <c r="L81" s="1"/>
      <c r="M81" s="1"/>
      <c r="N81" s="1"/>
      <c r="P81" s="241" t="s">
        <v>128</v>
      </c>
    </row>
    <row r="82" spans="1:16">
      <c r="B82" s="1"/>
      <c r="C82" s="23"/>
      <c r="D82" s="2"/>
      <c r="E82" s="1"/>
      <c r="F82" s="108"/>
      <c r="G82" s="1"/>
      <c r="H82" s="3"/>
      <c r="I82" s="1"/>
      <c r="J82" s="4"/>
      <c r="K82" s="1"/>
      <c r="L82" s="1"/>
      <c r="M82" s="1"/>
      <c r="N82" s="1"/>
      <c r="O82" s="1"/>
      <c r="P82" s="1"/>
    </row>
    <row r="83" spans="1:16">
      <c r="B83" s="1"/>
      <c r="C83" s="23"/>
      <c r="D83" s="2"/>
      <c r="E83" s="1"/>
      <c r="F83" s="108"/>
      <c r="G83" s="1"/>
      <c r="H83" s="3"/>
      <c r="I83" s="1"/>
      <c r="J83" s="4"/>
      <c r="K83" s="1"/>
      <c r="L83" s="1"/>
      <c r="M83" s="1"/>
      <c r="N83" s="1"/>
      <c r="O83" s="1"/>
      <c r="P83" s="1"/>
    </row>
    <row r="84" spans="1:16" ht="20.25">
      <c r="A84" s="240" t="s">
        <v>190</v>
      </c>
      <c r="B84" s="1"/>
      <c r="C84" s="23"/>
      <c r="D84" s="2"/>
      <c r="E84" s="1"/>
      <c r="F84" s="100"/>
      <c r="G84" s="100"/>
      <c r="H84" s="1"/>
      <c r="I84" s="3"/>
      <c r="K84" s="7"/>
      <c r="L84" s="110"/>
      <c r="M84" s="110"/>
      <c r="P84" s="110" t="str">
        <f ca="1">P1</f>
        <v>OKT Project 19 of 19</v>
      </c>
    </row>
    <row r="85" spans="1:16" ht="18">
      <c r="B85" s="1"/>
      <c r="C85" s="1"/>
      <c r="D85" s="2"/>
      <c r="E85" s="1"/>
      <c r="F85" s="1"/>
      <c r="G85" s="1"/>
      <c r="H85" s="1"/>
      <c r="I85" s="3"/>
      <c r="J85" s="1"/>
      <c r="K85" s="4"/>
      <c r="L85" s="1"/>
      <c r="M85" s="1"/>
      <c r="P85" s="247" t="s">
        <v>132</v>
      </c>
    </row>
    <row r="86" spans="1:16" ht="18.75" thickBot="1">
      <c r="B86" s="5" t="s">
        <v>42</v>
      </c>
      <c r="C86" s="197" t="s">
        <v>81</v>
      </c>
      <c r="D86" s="2"/>
      <c r="E86" s="1"/>
      <c r="F86" s="1"/>
      <c r="G86" s="1"/>
      <c r="H86" s="1"/>
      <c r="I86" s="3"/>
      <c r="J86" s="3"/>
      <c r="K86" s="112"/>
      <c r="L86" s="3"/>
      <c r="M86" s="3"/>
      <c r="N86" s="3"/>
      <c r="O86" s="112"/>
      <c r="P86" s="1"/>
    </row>
    <row r="87" spans="1:16" ht="15.75" thickBot="1">
      <c r="C87" s="68"/>
      <c r="D87" s="2"/>
      <c r="E87" s="1"/>
      <c r="F87" s="1"/>
      <c r="G87" s="1"/>
      <c r="H87" s="1"/>
      <c r="I87" s="3"/>
      <c r="J87" s="3"/>
      <c r="K87" s="112"/>
      <c r="L87" s="248">
        <f>+J93</f>
        <v>2018</v>
      </c>
      <c r="M87" s="249" t="s">
        <v>9</v>
      </c>
      <c r="N87" s="250" t="s">
        <v>134</v>
      </c>
      <c r="O87" s="251" t="s">
        <v>11</v>
      </c>
      <c r="P87" s="1"/>
    </row>
    <row r="88" spans="1:16" ht="15">
      <c r="C88" s="233" t="s">
        <v>44</v>
      </c>
      <c r="D88" s="2"/>
      <c r="E88" s="1"/>
      <c r="F88" s="1"/>
      <c r="G88" s="1"/>
      <c r="H88" s="114"/>
      <c r="I88" s="1" t="s">
        <v>45</v>
      </c>
      <c r="J88" s="1"/>
      <c r="K88" s="252"/>
      <c r="L88" s="253" t="s">
        <v>253</v>
      </c>
      <c r="M88" s="198">
        <f>IF(J93&lt;D11,0,VLOOKUP(J93,C17:O73,9))</f>
        <v>1047072.1407929109</v>
      </c>
      <c r="N88" s="198">
        <f>IF(J93&lt;D11,0,VLOOKUP(J93,C17:O73,11))</f>
        <v>1047072.1407929109</v>
      </c>
      <c r="O88" s="199">
        <f>+N88-M88</f>
        <v>0</v>
      </c>
      <c r="P88" s="1"/>
    </row>
    <row r="89" spans="1:16" ht="15.75">
      <c r="C89" s="8"/>
      <c r="D89" s="2"/>
      <c r="E89" s="1"/>
      <c r="F89" s="1"/>
      <c r="G89" s="1"/>
      <c r="H89" s="1"/>
      <c r="I89" s="119"/>
      <c r="J89" s="119"/>
      <c r="K89" s="254"/>
      <c r="L89" s="255" t="s">
        <v>254</v>
      </c>
      <c r="M89" s="200">
        <f>IF(J93&lt;D11,0,VLOOKUP(J93,C100:P155,6))</f>
        <v>0</v>
      </c>
      <c r="N89" s="200">
        <f>IF(J93&lt;D11,0,VLOOKUP(J93,C100:P155,7))</f>
        <v>0</v>
      </c>
      <c r="O89" s="201">
        <f>+N89-M89</f>
        <v>0</v>
      </c>
      <c r="P89" s="1"/>
    </row>
    <row r="90" spans="1:16" ht="13.5" thickBot="1">
      <c r="C90" s="124" t="s">
        <v>82</v>
      </c>
      <c r="D90" s="243" t="str">
        <f>+D7</f>
        <v>Fort Towson-Valliant 69 KV Line Rebuild</v>
      </c>
      <c r="E90" s="1"/>
      <c r="F90" s="1"/>
      <c r="G90" s="1"/>
      <c r="H90" s="1"/>
      <c r="I90" s="3"/>
      <c r="J90" s="3"/>
      <c r="K90" s="256"/>
      <c r="L90" s="257" t="s">
        <v>135</v>
      </c>
      <c r="M90" s="203">
        <f>+M89-M88</f>
        <v>-1047072.1407929109</v>
      </c>
      <c r="N90" s="203">
        <f>+N89-N88</f>
        <v>-1047072.1407929109</v>
      </c>
      <c r="O90" s="204">
        <f>+O89-O88</f>
        <v>0</v>
      </c>
      <c r="P90" s="1"/>
    </row>
    <row r="91" spans="1:16" ht="13.5" thickBot="1">
      <c r="C91" s="172"/>
      <c r="D91" s="174" t="str">
        <f>IF(D8="","",D8)</f>
        <v/>
      </c>
      <c r="E91" s="108"/>
      <c r="F91" s="108"/>
      <c r="G91" s="108"/>
      <c r="H91" s="129"/>
      <c r="I91" s="3"/>
      <c r="J91" s="3"/>
      <c r="K91" s="112"/>
      <c r="L91" s="3"/>
      <c r="M91" s="3"/>
      <c r="N91" s="3"/>
      <c r="O91" s="112"/>
      <c r="P91" s="1"/>
    </row>
    <row r="92" spans="1:16" ht="13.5" thickBot="1">
      <c r="A92" s="104"/>
      <c r="C92" s="205" t="s">
        <v>83</v>
      </c>
      <c r="D92" s="223" t="str">
        <f>+D9</f>
        <v>TP2015204</v>
      </c>
      <c r="E92" s="206"/>
      <c r="F92" s="206"/>
      <c r="G92" s="206"/>
      <c r="H92" s="206"/>
      <c r="I92" s="206"/>
      <c r="J92" s="206"/>
      <c r="K92" s="207"/>
      <c r="P92" s="134"/>
    </row>
    <row r="93" spans="1:16">
      <c r="C93" s="139" t="s">
        <v>49</v>
      </c>
      <c r="D93" s="218">
        <v>0</v>
      </c>
      <c r="E93" s="23" t="s">
        <v>84</v>
      </c>
      <c r="H93" s="137"/>
      <c r="I93" s="137"/>
      <c r="J93" s="138">
        <f>+'OKT.WS.G.BPU.ATRR.True-up'!M16</f>
        <v>2018</v>
      </c>
      <c r="K93" s="133"/>
      <c r="L93" s="112" t="s">
        <v>85</v>
      </c>
      <c r="P93" s="4"/>
    </row>
    <row r="94" spans="1:16">
      <c r="C94" s="139" t="s">
        <v>52</v>
      </c>
      <c r="D94" s="218">
        <f>IF(D11="","",D11)</f>
        <v>2018</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row>
    <row r="95" spans="1:16">
      <c r="C95" s="139" t="s">
        <v>54</v>
      </c>
      <c r="D95" s="218">
        <f>IF(D12="","",D12)</f>
        <v>6</v>
      </c>
      <c r="E95" s="139" t="s">
        <v>55</v>
      </c>
      <c r="F95" s="137"/>
      <c r="G95" s="137"/>
      <c r="J95" s="143">
        <f>'OKT.WS.G.BPU.ATRR.True-up'!$F$81</f>
        <v>0.10556244909908279</v>
      </c>
      <c r="K95" s="144"/>
      <c r="L95" t="s">
        <v>86</v>
      </c>
      <c r="P95" s="4"/>
    </row>
    <row r="96" spans="1:16">
      <c r="C96" s="139" t="s">
        <v>57</v>
      </c>
      <c r="D96" s="141">
        <f>'OKT.WS.G.BPU.ATRR.True-up'!F$93</f>
        <v>36</v>
      </c>
      <c r="E96" s="139" t="s">
        <v>58</v>
      </c>
      <c r="F96" s="137"/>
      <c r="G96" s="137"/>
      <c r="J96" s="143">
        <f>IF(H88="",J95,'OKT.WS.G.BPU.ATRR.True-up'!$F$80)</f>
        <v>0.10556244909908279</v>
      </c>
      <c r="K96" s="60"/>
      <c r="L96" s="112" t="s">
        <v>59</v>
      </c>
      <c r="M96" s="60"/>
      <c r="N96" s="60"/>
      <c r="O96" s="60"/>
      <c r="P96" s="4"/>
    </row>
    <row r="97" spans="1:16" ht="13.5" thickBot="1">
      <c r="C97" s="139" t="s">
        <v>60</v>
      </c>
      <c r="D97" s="219" t="str">
        <f>+D14</f>
        <v>No</v>
      </c>
      <c r="E97" s="202" t="s">
        <v>62</v>
      </c>
      <c r="F97" s="208"/>
      <c r="G97" s="208"/>
      <c r="H97" s="209"/>
      <c r="I97" s="209"/>
      <c r="J97" s="127">
        <f>IF(D93=0,0,D93/D96)</f>
        <v>0</v>
      </c>
      <c r="K97" s="112"/>
      <c r="L97" s="112"/>
      <c r="M97" s="112"/>
      <c r="N97" s="112"/>
      <c r="O97" s="112"/>
      <c r="P97" s="4"/>
    </row>
    <row r="98" spans="1:16"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row>
    <row r="99" spans="1:16" ht="13.5" thickBot="1">
      <c r="C99" s="150" t="s">
        <v>68</v>
      </c>
      <c r="D99" s="212" t="s">
        <v>69</v>
      </c>
      <c r="E99" s="150" t="s">
        <v>70</v>
      </c>
      <c r="F99" s="150" t="s">
        <v>69</v>
      </c>
      <c r="G99" s="150" t="s">
        <v>69</v>
      </c>
      <c r="H99" s="321" t="s">
        <v>71</v>
      </c>
      <c r="I99" s="151" t="s">
        <v>72</v>
      </c>
      <c r="J99" s="152" t="s">
        <v>93</v>
      </c>
      <c r="K99" s="153"/>
      <c r="L99" s="154" t="s">
        <v>74</v>
      </c>
      <c r="M99" s="154" t="s">
        <v>74</v>
      </c>
      <c r="N99" s="154" t="s">
        <v>94</v>
      </c>
      <c r="O99" s="154" t="s">
        <v>94</v>
      </c>
      <c r="P99" s="154" t="s">
        <v>94</v>
      </c>
    </row>
    <row r="100" spans="1:16">
      <c r="B100" t="str">
        <f t="shared" ref="B100:B155" si="9">IF(D100=F99,"","IU")</f>
        <v>IU</v>
      </c>
      <c r="C100" s="155">
        <f>IF(D94= "","-",D94)</f>
        <v>2018</v>
      </c>
      <c r="D100" s="156">
        <f>IF(D94=C100,0,IF(D93&lt;100000,0,D93))</f>
        <v>0</v>
      </c>
      <c r="E100" s="163">
        <f>IF(D93&lt;100000,0,J$97/12*(12-D95))</f>
        <v>0</v>
      </c>
      <c r="F100" s="161">
        <f>IF(D94=C100,+D93-E100,+D100-E100)</f>
        <v>0</v>
      </c>
      <c r="G100" s="213">
        <f>+(F100+D100)/2</f>
        <v>0</v>
      </c>
      <c r="H100" s="213">
        <f t="shared" ref="H100:H155" si="10">+J$95*G100+E100</f>
        <v>0</v>
      </c>
      <c r="I100" s="213">
        <f>+J$96*G100+E100</f>
        <v>0</v>
      </c>
      <c r="J100" s="160">
        <f t="shared" ref="J100:J131" si="11">+I100-H100</f>
        <v>0</v>
      </c>
      <c r="K100" s="160"/>
      <c r="L100" s="315"/>
      <c r="M100" s="159">
        <f t="shared" ref="M100:M131" si="12">IF(L100&lt;&gt;0,+H100-L100,0)</f>
        <v>0</v>
      </c>
      <c r="N100" s="315"/>
      <c r="O100" s="159">
        <f t="shared" ref="O100:O131" si="13">IF(N100&lt;&gt;0,+I100-N100,0)</f>
        <v>0</v>
      </c>
      <c r="P100" s="159">
        <f t="shared" ref="P100:P131" si="14">+O100-M100</f>
        <v>0</v>
      </c>
    </row>
    <row r="101" spans="1:16">
      <c r="B101" t="str">
        <f t="shared" si="9"/>
        <v/>
      </c>
      <c r="C101" s="155">
        <f>IF(D94="","-",+C100+1)</f>
        <v>2019</v>
      </c>
      <c r="D101" s="156">
        <f>IF(F100+SUM(E$100:E100)=D$93,F100,D$93-SUM(E$100:E100))</f>
        <v>0</v>
      </c>
      <c r="E101" s="162">
        <f t="shared" ref="E101:E155" si="15">IF(+J$97&lt;F100,J$97,D101)</f>
        <v>0</v>
      </c>
      <c r="F101" s="161">
        <f t="shared" ref="F101:F155" si="16">+D101-E101</f>
        <v>0</v>
      </c>
      <c r="G101" s="161">
        <f t="shared" ref="G101:G155" si="17">+(F101+D101)/2</f>
        <v>0</v>
      </c>
      <c r="H101" s="314">
        <f t="shared" si="10"/>
        <v>0</v>
      </c>
      <c r="I101" s="323">
        <f t="shared" ref="I101:I155" si="18">+J$96*G101+E101</f>
        <v>0</v>
      </c>
      <c r="J101" s="160">
        <f t="shared" si="11"/>
        <v>0</v>
      </c>
      <c r="K101" s="160"/>
      <c r="L101" s="316"/>
      <c r="M101" s="160">
        <f t="shared" si="12"/>
        <v>0</v>
      </c>
      <c r="N101" s="316"/>
      <c r="O101" s="160">
        <f t="shared" si="13"/>
        <v>0</v>
      </c>
      <c r="P101" s="160">
        <f t="shared" si="14"/>
        <v>0</v>
      </c>
    </row>
    <row r="102" spans="1:16">
      <c r="B102" t="str">
        <f t="shared" si="9"/>
        <v/>
      </c>
      <c r="C102" s="155">
        <f>IF(D94="","-",+C101+1)</f>
        <v>2020</v>
      </c>
      <c r="D102" s="156">
        <f>IF(F101+SUM(E$100:E101)=D$93,F101,D$93-SUM(E$100:E101))</f>
        <v>0</v>
      </c>
      <c r="E102" s="162">
        <f t="shared" si="15"/>
        <v>0</v>
      </c>
      <c r="F102" s="161">
        <f t="shared" si="16"/>
        <v>0</v>
      </c>
      <c r="G102" s="161">
        <f t="shared" si="17"/>
        <v>0</v>
      </c>
      <c r="H102" s="314">
        <f t="shared" si="10"/>
        <v>0</v>
      </c>
      <c r="I102" s="323">
        <f t="shared" si="18"/>
        <v>0</v>
      </c>
      <c r="J102" s="160">
        <f t="shared" si="11"/>
        <v>0</v>
      </c>
      <c r="K102" s="160"/>
      <c r="L102" s="316"/>
      <c r="M102" s="160">
        <f t="shared" si="12"/>
        <v>0</v>
      </c>
      <c r="N102" s="316"/>
      <c r="O102" s="160">
        <f t="shared" si="13"/>
        <v>0</v>
      </c>
      <c r="P102" s="160">
        <f t="shared" si="14"/>
        <v>0</v>
      </c>
    </row>
    <row r="103" spans="1:16">
      <c r="B103" t="str">
        <f t="shared" si="9"/>
        <v/>
      </c>
      <c r="C103" s="155">
        <f>IF(D94="","-",+C102+1)</f>
        <v>2021</v>
      </c>
      <c r="D103" s="156">
        <f>IF(F102+SUM(E$100:E102)=D$93,F102,D$93-SUM(E$100:E102))</f>
        <v>0</v>
      </c>
      <c r="E103" s="162">
        <f t="shared" si="15"/>
        <v>0</v>
      </c>
      <c r="F103" s="161">
        <f t="shared" si="16"/>
        <v>0</v>
      </c>
      <c r="G103" s="161">
        <f t="shared" si="17"/>
        <v>0</v>
      </c>
      <c r="H103" s="314">
        <f t="shared" si="10"/>
        <v>0</v>
      </c>
      <c r="I103" s="323">
        <f t="shared" si="18"/>
        <v>0</v>
      </c>
      <c r="J103" s="160">
        <f t="shared" si="11"/>
        <v>0</v>
      </c>
      <c r="K103" s="160"/>
      <c r="L103" s="316"/>
      <c r="M103" s="160">
        <f t="shared" si="12"/>
        <v>0</v>
      </c>
      <c r="N103" s="316"/>
      <c r="O103" s="160">
        <f t="shared" si="13"/>
        <v>0</v>
      </c>
      <c r="P103" s="160">
        <f t="shared" si="14"/>
        <v>0</v>
      </c>
    </row>
    <row r="104" spans="1:16">
      <c r="B104" t="str">
        <f t="shared" si="9"/>
        <v/>
      </c>
      <c r="C104" s="155">
        <f>IF(D94="","-",+C103+1)</f>
        <v>2022</v>
      </c>
      <c r="D104" s="156">
        <f>IF(F103+SUM(E$100:E103)=D$93,F103,D$93-SUM(E$100:E103))</f>
        <v>0</v>
      </c>
      <c r="E104" s="162">
        <f t="shared" si="15"/>
        <v>0</v>
      </c>
      <c r="F104" s="161">
        <f t="shared" si="16"/>
        <v>0</v>
      </c>
      <c r="G104" s="161">
        <f t="shared" si="17"/>
        <v>0</v>
      </c>
      <c r="H104" s="314">
        <f t="shared" si="10"/>
        <v>0</v>
      </c>
      <c r="I104" s="323">
        <f t="shared" si="18"/>
        <v>0</v>
      </c>
      <c r="J104" s="160">
        <f t="shared" si="11"/>
        <v>0</v>
      </c>
      <c r="K104" s="160"/>
      <c r="L104" s="316"/>
      <c r="M104" s="160">
        <f t="shared" si="12"/>
        <v>0</v>
      </c>
      <c r="N104" s="316"/>
      <c r="O104" s="160">
        <f t="shared" si="13"/>
        <v>0</v>
      </c>
      <c r="P104" s="160">
        <f t="shared" si="14"/>
        <v>0</v>
      </c>
    </row>
    <row r="105" spans="1:16">
      <c r="B105" t="str">
        <f t="shared" si="9"/>
        <v/>
      </c>
      <c r="C105" s="155">
        <f>IF(D94="","-",+C104+1)</f>
        <v>2023</v>
      </c>
      <c r="D105" s="156">
        <f>IF(F104+SUM(E$100:E104)=D$93,F104,D$93-SUM(E$100:E104))</f>
        <v>0</v>
      </c>
      <c r="E105" s="162">
        <f t="shared" si="15"/>
        <v>0</v>
      </c>
      <c r="F105" s="161">
        <f t="shared" si="16"/>
        <v>0</v>
      </c>
      <c r="G105" s="161">
        <f t="shared" si="17"/>
        <v>0</v>
      </c>
      <c r="H105" s="314">
        <f t="shared" si="10"/>
        <v>0</v>
      </c>
      <c r="I105" s="323">
        <f t="shared" si="18"/>
        <v>0</v>
      </c>
      <c r="J105" s="160">
        <f t="shared" si="11"/>
        <v>0</v>
      </c>
      <c r="K105" s="160"/>
      <c r="L105" s="316"/>
      <c r="M105" s="160">
        <f t="shared" si="12"/>
        <v>0</v>
      </c>
      <c r="N105" s="316"/>
      <c r="O105" s="160">
        <f t="shared" si="13"/>
        <v>0</v>
      </c>
      <c r="P105" s="160">
        <f t="shared" si="14"/>
        <v>0</v>
      </c>
    </row>
    <row r="106" spans="1:16">
      <c r="B106" t="str">
        <f t="shared" si="9"/>
        <v/>
      </c>
      <c r="C106" s="155">
        <f>IF(D94="","-",+C105+1)</f>
        <v>2024</v>
      </c>
      <c r="D106" s="156">
        <f>IF(F105+SUM(E$100:E105)=D$93,F105,D$93-SUM(E$100:E105))</f>
        <v>0</v>
      </c>
      <c r="E106" s="162">
        <f t="shared" si="15"/>
        <v>0</v>
      </c>
      <c r="F106" s="161">
        <f t="shared" si="16"/>
        <v>0</v>
      </c>
      <c r="G106" s="161">
        <f t="shared" si="17"/>
        <v>0</v>
      </c>
      <c r="H106" s="314">
        <f t="shared" si="10"/>
        <v>0</v>
      </c>
      <c r="I106" s="323">
        <f t="shared" si="18"/>
        <v>0</v>
      </c>
      <c r="J106" s="160">
        <f t="shared" si="11"/>
        <v>0</v>
      </c>
      <c r="K106" s="160"/>
      <c r="L106" s="316"/>
      <c r="M106" s="160">
        <f t="shared" si="12"/>
        <v>0</v>
      </c>
      <c r="N106" s="316"/>
      <c r="O106" s="160">
        <f t="shared" si="13"/>
        <v>0</v>
      </c>
      <c r="P106" s="160">
        <f t="shared" si="14"/>
        <v>0</v>
      </c>
    </row>
    <row r="107" spans="1:16">
      <c r="B107" t="str">
        <f t="shared" si="9"/>
        <v/>
      </c>
      <c r="C107" s="155">
        <f>IF(D94="","-",+C106+1)</f>
        <v>2025</v>
      </c>
      <c r="D107" s="156">
        <f>IF(F106+SUM(E$100:E106)=D$93,F106,D$93-SUM(E$100:E106))</f>
        <v>0</v>
      </c>
      <c r="E107" s="162">
        <f t="shared" si="15"/>
        <v>0</v>
      </c>
      <c r="F107" s="161">
        <f t="shared" si="16"/>
        <v>0</v>
      </c>
      <c r="G107" s="161">
        <f t="shared" si="17"/>
        <v>0</v>
      </c>
      <c r="H107" s="314">
        <f t="shared" si="10"/>
        <v>0</v>
      </c>
      <c r="I107" s="323">
        <f t="shared" si="18"/>
        <v>0</v>
      </c>
      <c r="J107" s="160">
        <f t="shared" si="11"/>
        <v>0</v>
      </c>
      <c r="K107" s="160"/>
      <c r="L107" s="316"/>
      <c r="M107" s="160">
        <f t="shared" si="12"/>
        <v>0</v>
      </c>
      <c r="N107" s="316"/>
      <c r="O107" s="160">
        <f t="shared" si="13"/>
        <v>0</v>
      </c>
      <c r="P107" s="160">
        <f t="shared" si="14"/>
        <v>0</v>
      </c>
    </row>
    <row r="108" spans="1:16">
      <c r="B108" t="str">
        <f t="shared" si="9"/>
        <v/>
      </c>
      <c r="C108" s="155">
        <f>IF(D94="","-",+C107+1)</f>
        <v>2026</v>
      </c>
      <c r="D108" s="156">
        <f>IF(F107+SUM(E$100:E107)=D$93,F107,D$93-SUM(E$100:E107))</f>
        <v>0</v>
      </c>
      <c r="E108" s="162">
        <f t="shared" si="15"/>
        <v>0</v>
      </c>
      <c r="F108" s="161">
        <f t="shared" si="16"/>
        <v>0</v>
      </c>
      <c r="G108" s="161">
        <f t="shared" si="17"/>
        <v>0</v>
      </c>
      <c r="H108" s="314">
        <f t="shared" si="10"/>
        <v>0</v>
      </c>
      <c r="I108" s="323">
        <f t="shared" si="18"/>
        <v>0</v>
      </c>
      <c r="J108" s="160">
        <f t="shared" si="11"/>
        <v>0</v>
      </c>
      <c r="K108" s="160"/>
      <c r="L108" s="316"/>
      <c r="M108" s="160">
        <f t="shared" si="12"/>
        <v>0</v>
      </c>
      <c r="N108" s="316"/>
      <c r="O108" s="160">
        <f t="shared" si="13"/>
        <v>0</v>
      </c>
      <c r="P108" s="160">
        <f t="shared" si="14"/>
        <v>0</v>
      </c>
    </row>
    <row r="109" spans="1:16">
      <c r="B109" t="str">
        <f t="shared" si="9"/>
        <v/>
      </c>
      <c r="C109" s="155">
        <f>IF(D94="","-",+C108+1)</f>
        <v>2027</v>
      </c>
      <c r="D109" s="156">
        <f>IF(F108+SUM(E$100:E108)=D$93,F108,D$93-SUM(E$100:E108))</f>
        <v>0</v>
      </c>
      <c r="E109" s="162">
        <f t="shared" si="15"/>
        <v>0</v>
      </c>
      <c r="F109" s="161">
        <f t="shared" si="16"/>
        <v>0</v>
      </c>
      <c r="G109" s="161">
        <f t="shared" si="17"/>
        <v>0</v>
      </c>
      <c r="H109" s="314">
        <f t="shared" si="10"/>
        <v>0</v>
      </c>
      <c r="I109" s="323">
        <f t="shared" si="18"/>
        <v>0</v>
      </c>
      <c r="J109" s="160">
        <f t="shared" si="11"/>
        <v>0</v>
      </c>
      <c r="K109" s="160"/>
      <c r="L109" s="316"/>
      <c r="M109" s="160">
        <f t="shared" si="12"/>
        <v>0</v>
      </c>
      <c r="N109" s="316"/>
      <c r="O109" s="160">
        <f t="shared" si="13"/>
        <v>0</v>
      </c>
      <c r="P109" s="160">
        <f t="shared" si="14"/>
        <v>0</v>
      </c>
    </row>
    <row r="110" spans="1:16">
      <c r="B110" t="str">
        <f t="shared" si="9"/>
        <v/>
      </c>
      <c r="C110" s="155">
        <f>IF(D94="","-",+C109+1)</f>
        <v>2028</v>
      </c>
      <c r="D110" s="156">
        <f>IF(F109+SUM(E$100:E109)=D$93,F109,D$93-SUM(E$100:E109))</f>
        <v>0</v>
      </c>
      <c r="E110" s="162">
        <f t="shared" si="15"/>
        <v>0</v>
      </c>
      <c r="F110" s="161">
        <f t="shared" si="16"/>
        <v>0</v>
      </c>
      <c r="G110" s="161">
        <f t="shared" si="17"/>
        <v>0</v>
      </c>
      <c r="H110" s="314">
        <f t="shared" si="10"/>
        <v>0</v>
      </c>
      <c r="I110" s="323">
        <f t="shared" si="18"/>
        <v>0</v>
      </c>
      <c r="J110" s="160">
        <f t="shared" si="11"/>
        <v>0</v>
      </c>
      <c r="K110" s="160"/>
      <c r="L110" s="316"/>
      <c r="M110" s="160">
        <f t="shared" si="12"/>
        <v>0</v>
      </c>
      <c r="N110" s="316"/>
      <c r="O110" s="160">
        <f t="shared" si="13"/>
        <v>0</v>
      </c>
      <c r="P110" s="160">
        <f t="shared" si="14"/>
        <v>0</v>
      </c>
    </row>
    <row r="111" spans="1:16">
      <c r="B111" t="str">
        <f t="shared" si="9"/>
        <v/>
      </c>
      <c r="C111" s="155">
        <f>IF(D94="","-",+C110+1)</f>
        <v>2029</v>
      </c>
      <c r="D111" s="156">
        <f>IF(F110+SUM(E$100:E110)=D$93,F110,D$93-SUM(E$100:E110))</f>
        <v>0</v>
      </c>
      <c r="E111" s="162">
        <f t="shared" si="15"/>
        <v>0</v>
      </c>
      <c r="F111" s="161">
        <f t="shared" si="16"/>
        <v>0</v>
      </c>
      <c r="G111" s="161">
        <f t="shared" si="17"/>
        <v>0</v>
      </c>
      <c r="H111" s="314">
        <f t="shared" si="10"/>
        <v>0</v>
      </c>
      <c r="I111" s="323">
        <f t="shared" si="18"/>
        <v>0</v>
      </c>
      <c r="J111" s="160">
        <f t="shared" si="11"/>
        <v>0</v>
      </c>
      <c r="K111" s="160"/>
      <c r="L111" s="316"/>
      <c r="M111" s="160">
        <f t="shared" si="12"/>
        <v>0</v>
      </c>
      <c r="N111" s="316"/>
      <c r="O111" s="160">
        <f t="shared" si="13"/>
        <v>0</v>
      </c>
      <c r="P111" s="160">
        <f t="shared" si="14"/>
        <v>0</v>
      </c>
    </row>
    <row r="112" spans="1:16">
      <c r="B112" t="str">
        <f t="shared" si="9"/>
        <v/>
      </c>
      <c r="C112" s="155">
        <f>IF(D94="","-",+C111+1)</f>
        <v>2030</v>
      </c>
      <c r="D112" s="156">
        <f>IF(F111+SUM(E$100:E111)=D$93,F111,D$93-SUM(E$100:E111))</f>
        <v>0</v>
      </c>
      <c r="E112" s="162">
        <f t="shared" si="15"/>
        <v>0</v>
      </c>
      <c r="F112" s="161">
        <f t="shared" si="16"/>
        <v>0</v>
      </c>
      <c r="G112" s="161">
        <f t="shared" si="17"/>
        <v>0</v>
      </c>
      <c r="H112" s="314">
        <f t="shared" si="10"/>
        <v>0</v>
      </c>
      <c r="I112" s="323">
        <f t="shared" si="18"/>
        <v>0</v>
      </c>
      <c r="J112" s="160">
        <f t="shared" si="11"/>
        <v>0</v>
      </c>
      <c r="K112" s="160"/>
      <c r="L112" s="316"/>
      <c r="M112" s="160">
        <f t="shared" si="12"/>
        <v>0</v>
      </c>
      <c r="N112" s="316"/>
      <c r="O112" s="160">
        <f t="shared" si="13"/>
        <v>0</v>
      </c>
      <c r="P112" s="160">
        <f t="shared" si="14"/>
        <v>0</v>
      </c>
    </row>
    <row r="113" spans="2:16">
      <c r="B113" t="str">
        <f t="shared" si="9"/>
        <v/>
      </c>
      <c r="C113" s="155">
        <f>IF(D94="","-",+C112+1)</f>
        <v>2031</v>
      </c>
      <c r="D113" s="156">
        <f>IF(F112+SUM(E$100:E112)=D$93,F112,D$93-SUM(E$100:E112))</f>
        <v>0</v>
      </c>
      <c r="E113" s="162">
        <f t="shared" si="15"/>
        <v>0</v>
      </c>
      <c r="F113" s="161">
        <f t="shared" si="16"/>
        <v>0</v>
      </c>
      <c r="G113" s="161">
        <f t="shared" si="17"/>
        <v>0</v>
      </c>
      <c r="H113" s="314">
        <f t="shared" si="10"/>
        <v>0</v>
      </c>
      <c r="I113" s="323">
        <f t="shared" si="18"/>
        <v>0</v>
      </c>
      <c r="J113" s="160">
        <f t="shared" si="11"/>
        <v>0</v>
      </c>
      <c r="K113" s="160"/>
      <c r="L113" s="316"/>
      <c r="M113" s="160">
        <f t="shared" si="12"/>
        <v>0</v>
      </c>
      <c r="N113" s="316"/>
      <c r="O113" s="160">
        <f t="shared" si="13"/>
        <v>0</v>
      </c>
      <c r="P113" s="160">
        <f t="shared" si="14"/>
        <v>0</v>
      </c>
    </row>
    <row r="114" spans="2:16">
      <c r="B114" t="str">
        <f t="shared" si="9"/>
        <v/>
      </c>
      <c r="C114" s="155">
        <f>IF(D94="","-",+C113+1)</f>
        <v>2032</v>
      </c>
      <c r="D114" s="156">
        <f>IF(F113+SUM(E$100:E113)=D$93,F113,D$93-SUM(E$100:E113))</f>
        <v>0</v>
      </c>
      <c r="E114" s="162">
        <f t="shared" si="15"/>
        <v>0</v>
      </c>
      <c r="F114" s="161">
        <f t="shared" si="16"/>
        <v>0</v>
      </c>
      <c r="G114" s="161">
        <f t="shared" si="17"/>
        <v>0</v>
      </c>
      <c r="H114" s="314">
        <f t="shared" si="10"/>
        <v>0</v>
      </c>
      <c r="I114" s="323">
        <f t="shared" si="18"/>
        <v>0</v>
      </c>
      <c r="J114" s="160">
        <f t="shared" si="11"/>
        <v>0</v>
      </c>
      <c r="K114" s="160"/>
      <c r="L114" s="316"/>
      <c r="M114" s="160">
        <f t="shared" si="12"/>
        <v>0</v>
      </c>
      <c r="N114" s="316"/>
      <c r="O114" s="160">
        <f t="shared" si="13"/>
        <v>0</v>
      </c>
      <c r="P114" s="160">
        <f t="shared" si="14"/>
        <v>0</v>
      </c>
    </row>
    <row r="115" spans="2:16">
      <c r="B115" t="str">
        <f t="shared" si="9"/>
        <v/>
      </c>
      <c r="C115" s="155">
        <f>IF(D94="","-",+C114+1)</f>
        <v>2033</v>
      </c>
      <c r="D115" s="156">
        <f>IF(F114+SUM(E$100:E114)=D$93,F114,D$93-SUM(E$100:E114))</f>
        <v>0</v>
      </c>
      <c r="E115" s="162">
        <f t="shared" si="15"/>
        <v>0</v>
      </c>
      <c r="F115" s="161">
        <f t="shared" si="16"/>
        <v>0</v>
      </c>
      <c r="G115" s="161">
        <f t="shared" si="17"/>
        <v>0</v>
      </c>
      <c r="H115" s="314">
        <f t="shared" si="10"/>
        <v>0</v>
      </c>
      <c r="I115" s="323">
        <f t="shared" si="18"/>
        <v>0</v>
      </c>
      <c r="J115" s="160">
        <f t="shared" si="11"/>
        <v>0</v>
      </c>
      <c r="K115" s="160"/>
      <c r="L115" s="316"/>
      <c r="M115" s="160">
        <f t="shared" si="12"/>
        <v>0</v>
      </c>
      <c r="N115" s="316"/>
      <c r="O115" s="160">
        <f t="shared" si="13"/>
        <v>0</v>
      </c>
      <c r="P115" s="160">
        <f t="shared" si="14"/>
        <v>0</v>
      </c>
    </row>
    <row r="116" spans="2:16">
      <c r="B116" t="str">
        <f t="shared" si="9"/>
        <v/>
      </c>
      <c r="C116" s="155">
        <f>IF(D94="","-",+C115+1)</f>
        <v>2034</v>
      </c>
      <c r="D116" s="156">
        <f>IF(F115+SUM(E$100:E115)=D$93,F115,D$93-SUM(E$100:E115))</f>
        <v>0</v>
      </c>
      <c r="E116" s="162">
        <f t="shared" si="15"/>
        <v>0</v>
      </c>
      <c r="F116" s="161">
        <f t="shared" si="16"/>
        <v>0</v>
      </c>
      <c r="G116" s="161">
        <f t="shared" si="17"/>
        <v>0</v>
      </c>
      <c r="H116" s="314">
        <f t="shared" si="10"/>
        <v>0</v>
      </c>
      <c r="I116" s="323">
        <f t="shared" si="18"/>
        <v>0</v>
      </c>
      <c r="J116" s="160">
        <f t="shared" si="11"/>
        <v>0</v>
      </c>
      <c r="K116" s="160"/>
      <c r="L116" s="316"/>
      <c r="M116" s="160">
        <f t="shared" si="12"/>
        <v>0</v>
      </c>
      <c r="N116" s="316"/>
      <c r="O116" s="160">
        <f t="shared" si="13"/>
        <v>0</v>
      </c>
      <c r="P116" s="160">
        <f t="shared" si="14"/>
        <v>0</v>
      </c>
    </row>
    <row r="117" spans="2:16">
      <c r="B117" t="str">
        <f t="shared" si="9"/>
        <v/>
      </c>
      <c r="C117" s="155">
        <f>IF(D94="","-",+C116+1)</f>
        <v>2035</v>
      </c>
      <c r="D117" s="156">
        <f>IF(F116+SUM(E$100:E116)=D$93,F116,D$93-SUM(E$100:E116))</f>
        <v>0</v>
      </c>
      <c r="E117" s="162">
        <f t="shared" si="15"/>
        <v>0</v>
      </c>
      <c r="F117" s="161">
        <f t="shared" si="16"/>
        <v>0</v>
      </c>
      <c r="G117" s="161">
        <f t="shared" si="17"/>
        <v>0</v>
      </c>
      <c r="H117" s="314">
        <f t="shared" si="10"/>
        <v>0</v>
      </c>
      <c r="I117" s="323">
        <f t="shared" si="18"/>
        <v>0</v>
      </c>
      <c r="J117" s="160">
        <f t="shared" si="11"/>
        <v>0</v>
      </c>
      <c r="K117" s="160"/>
      <c r="L117" s="316"/>
      <c r="M117" s="160">
        <f t="shared" si="12"/>
        <v>0</v>
      </c>
      <c r="N117" s="316"/>
      <c r="O117" s="160">
        <f t="shared" si="13"/>
        <v>0</v>
      </c>
      <c r="P117" s="160">
        <f t="shared" si="14"/>
        <v>0</v>
      </c>
    </row>
    <row r="118" spans="2:16">
      <c r="B118" t="str">
        <f t="shared" si="9"/>
        <v/>
      </c>
      <c r="C118" s="155">
        <f>IF(D94="","-",+C117+1)</f>
        <v>2036</v>
      </c>
      <c r="D118" s="156">
        <f>IF(F117+SUM(E$100:E117)=D$93,F117,D$93-SUM(E$100:E117))</f>
        <v>0</v>
      </c>
      <c r="E118" s="162">
        <f t="shared" si="15"/>
        <v>0</v>
      </c>
      <c r="F118" s="161">
        <f t="shared" si="16"/>
        <v>0</v>
      </c>
      <c r="G118" s="161">
        <f t="shared" si="17"/>
        <v>0</v>
      </c>
      <c r="H118" s="314">
        <f t="shared" si="10"/>
        <v>0</v>
      </c>
      <c r="I118" s="323">
        <f t="shared" si="18"/>
        <v>0</v>
      </c>
      <c r="J118" s="160">
        <f t="shared" si="11"/>
        <v>0</v>
      </c>
      <c r="K118" s="160"/>
      <c r="L118" s="316"/>
      <c r="M118" s="160">
        <f t="shared" si="12"/>
        <v>0</v>
      </c>
      <c r="N118" s="316"/>
      <c r="O118" s="160">
        <f t="shared" si="13"/>
        <v>0</v>
      </c>
      <c r="P118" s="160">
        <f t="shared" si="14"/>
        <v>0</v>
      </c>
    </row>
    <row r="119" spans="2:16">
      <c r="B119" t="str">
        <f t="shared" si="9"/>
        <v/>
      </c>
      <c r="C119" s="155">
        <f>IF(D94="","-",+C118+1)</f>
        <v>2037</v>
      </c>
      <c r="D119" s="156">
        <f>IF(F118+SUM(E$100:E118)=D$93,F118,D$93-SUM(E$100:E118))</f>
        <v>0</v>
      </c>
      <c r="E119" s="162">
        <f t="shared" si="15"/>
        <v>0</v>
      </c>
      <c r="F119" s="161">
        <f t="shared" si="16"/>
        <v>0</v>
      </c>
      <c r="G119" s="161">
        <f t="shared" si="17"/>
        <v>0</v>
      </c>
      <c r="H119" s="314">
        <f t="shared" si="10"/>
        <v>0</v>
      </c>
      <c r="I119" s="323">
        <f t="shared" si="18"/>
        <v>0</v>
      </c>
      <c r="J119" s="160">
        <f t="shared" si="11"/>
        <v>0</v>
      </c>
      <c r="K119" s="160"/>
      <c r="L119" s="316"/>
      <c r="M119" s="160">
        <f t="shared" si="12"/>
        <v>0</v>
      </c>
      <c r="N119" s="316"/>
      <c r="O119" s="160">
        <f t="shared" si="13"/>
        <v>0</v>
      </c>
      <c r="P119" s="160">
        <f t="shared" si="14"/>
        <v>0</v>
      </c>
    </row>
    <row r="120" spans="2:16">
      <c r="B120" t="str">
        <f t="shared" si="9"/>
        <v/>
      </c>
      <c r="C120" s="155">
        <f>IF(D94="","-",+C119+1)</f>
        <v>2038</v>
      </c>
      <c r="D120" s="156">
        <f>IF(F119+SUM(E$100:E119)=D$93,F119,D$93-SUM(E$100:E119))</f>
        <v>0</v>
      </c>
      <c r="E120" s="162">
        <f t="shared" si="15"/>
        <v>0</v>
      </c>
      <c r="F120" s="161">
        <f t="shared" si="16"/>
        <v>0</v>
      </c>
      <c r="G120" s="161">
        <f t="shared" si="17"/>
        <v>0</v>
      </c>
      <c r="H120" s="314">
        <f t="shared" si="10"/>
        <v>0</v>
      </c>
      <c r="I120" s="323">
        <f t="shared" si="18"/>
        <v>0</v>
      </c>
      <c r="J120" s="160">
        <f t="shared" si="11"/>
        <v>0</v>
      </c>
      <c r="K120" s="160"/>
      <c r="L120" s="316"/>
      <c r="M120" s="160">
        <f t="shared" si="12"/>
        <v>0</v>
      </c>
      <c r="N120" s="316"/>
      <c r="O120" s="160">
        <f t="shared" si="13"/>
        <v>0</v>
      </c>
      <c r="P120" s="160">
        <f t="shared" si="14"/>
        <v>0</v>
      </c>
    </row>
    <row r="121" spans="2:16">
      <c r="B121" t="str">
        <f t="shared" si="9"/>
        <v/>
      </c>
      <c r="C121" s="155">
        <f>IF(D94="","-",+C120+1)</f>
        <v>2039</v>
      </c>
      <c r="D121" s="156">
        <f>IF(F120+SUM(E$100:E120)=D$93,F120,D$93-SUM(E$100:E120))</f>
        <v>0</v>
      </c>
      <c r="E121" s="162">
        <f t="shared" si="15"/>
        <v>0</v>
      </c>
      <c r="F121" s="161">
        <f t="shared" si="16"/>
        <v>0</v>
      </c>
      <c r="G121" s="161">
        <f t="shared" si="17"/>
        <v>0</v>
      </c>
      <c r="H121" s="314">
        <f t="shared" si="10"/>
        <v>0</v>
      </c>
      <c r="I121" s="323">
        <f t="shared" si="18"/>
        <v>0</v>
      </c>
      <c r="J121" s="160">
        <f t="shared" si="11"/>
        <v>0</v>
      </c>
      <c r="K121" s="160"/>
      <c r="L121" s="316"/>
      <c r="M121" s="160">
        <f t="shared" si="12"/>
        <v>0</v>
      </c>
      <c r="N121" s="316"/>
      <c r="O121" s="160">
        <f t="shared" si="13"/>
        <v>0</v>
      </c>
      <c r="P121" s="160">
        <f t="shared" si="14"/>
        <v>0</v>
      </c>
    </row>
    <row r="122" spans="2:16">
      <c r="B122" t="str">
        <f t="shared" si="9"/>
        <v/>
      </c>
      <c r="C122" s="155">
        <f>IF(D94="","-",+C121+1)</f>
        <v>2040</v>
      </c>
      <c r="D122" s="156">
        <f>IF(F121+SUM(E$100:E121)=D$93,F121,D$93-SUM(E$100:E121))</f>
        <v>0</v>
      </c>
      <c r="E122" s="162">
        <f t="shared" si="15"/>
        <v>0</v>
      </c>
      <c r="F122" s="161">
        <f t="shared" si="16"/>
        <v>0</v>
      </c>
      <c r="G122" s="161">
        <f t="shared" si="17"/>
        <v>0</v>
      </c>
      <c r="H122" s="314">
        <f t="shared" si="10"/>
        <v>0</v>
      </c>
      <c r="I122" s="323">
        <f t="shared" si="18"/>
        <v>0</v>
      </c>
      <c r="J122" s="160">
        <f t="shared" si="11"/>
        <v>0</v>
      </c>
      <c r="K122" s="160"/>
      <c r="L122" s="316"/>
      <c r="M122" s="160">
        <f t="shared" si="12"/>
        <v>0</v>
      </c>
      <c r="N122" s="316"/>
      <c r="O122" s="160">
        <f t="shared" si="13"/>
        <v>0</v>
      </c>
      <c r="P122" s="160">
        <f t="shared" si="14"/>
        <v>0</v>
      </c>
    </row>
    <row r="123" spans="2:16">
      <c r="B123" t="str">
        <f t="shared" si="9"/>
        <v/>
      </c>
      <c r="C123" s="155">
        <f>IF(D94="","-",+C122+1)</f>
        <v>2041</v>
      </c>
      <c r="D123" s="156">
        <f>IF(F122+SUM(E$100:E122)=D$93,F122,D$93-SUM(E$100:E122))</f>
        <v>0</v>
      </c>
      <c r="E123" s="162">
        <f t="shared" si="15"/>
        <v>0</v>
      </c>
      <c r="F123" s="161">
        <f t="shared" si="16"/>
        <v>0</v>
      </c>
      <c r="G123" s="161">
        <f t="shared" si="17"/>
        <v>0</v>
      </c>
      <c r="H123" s="314">
        <f t="shared" si="10"/>
        <v>0</v>
      </c>
      <c r="I123" s="323">
        <f t="shared" si="18"/>
        <v>0</v>
      </c>
      <c r="J123" s="160">
        <f t="shared" si="11"/>
        <v>0</v>
      </c>
      <c r="K123" s="160"/>
      <c r="L123" s="316"/>
      <c r="M123" s="160">
        <f t="shared" si="12"/>
        <v>0</v>
      </c>
      <c r="N123" s="316"/>
      <c r="O123" s="160">
        <f t="shared" si="13"/>
        <v>0</v>
      </c>
      <c r="P123" s="160">
        <f t="shared" si="14"/>
        <v>0</v>
      </c>
    </row>
    <row r="124" spans="2:16">
      <c r="B124" t="str">
        <f t="shared" si="9"/>
        <v/>
      </c>
      <c r="C124" s="155">
        <f>IF(D94="","-",+C123+1)</f>
        <v>2042</v>
      </c>
      <c r="D124" s="156">
        <f>IF(F123+SUM(E$100:E123)=D$93,F123,D$93-SUM(E$100:E123))</f>
        <v>0</v>
      </c>
      <c r="E124" s="162">
        <f t="shared" si="15"/>
        <v>0</v>
      </c>
      <c r="F124" s="161">
        <f t="shared" si="16"/>
        <v>0</v>
      </c>
      <c r="G124" s="161">
        <f t="shared" si="17"/>
        <v>0</v>
      </c>
      <c r="H124" s="314">
        <f t="shared" si="10"/>
        <v>0</v>
      </c>
      <c r="I124" s="323">
        <f t="shared" si="18"/>
        <v>0</v>
      </c>
      <c r="J124" s="160">
        <f t="shared" si="11"/>
        <v>0</v>
      </c>
      <c r="K124" s="160"/>
      <c r="L124" s="316"/>
      <c r="M124" s="160">
        <f t="shared" si="12"/>
        <v>0</v>
      </c>
      <c r="N124" s="316"/>
      <c r="O124" s="160">
        <f t="shared" si="13"/>
        <v>0</v>
      </c>
      <c r="P124" s="160">
        <f t="shared" si="14"/>
        <v>0</v>
      </c>
    </row>
    <row r="125" spans="2:16">
      <c r="B125" t="str">
        <f t="shared" si="9"/>
        <v/>
      </c>
      <c r="C125" s="155">
        <f>IF(D94="","-",+C124+1)</f>
        <v>2043</v>
      </c>
      <c r="D125" s="156">
        <f>IF(F124+SUM(E$100:E124)=D$93,F124,D$93-SUM(E$100:E124))</f>
        <v>0</v>
      </c>
      <c r="E125" s="162">
        <f t="shared" si="15"/>
        <v>0</v>
      </c>
      <c r="F125" s="161">
        <f t="shared" si="16"/>
        <v>0</v>
      </c>
      <c r="G125" s="161">
        <f t="shared" si="17"/>
        <v>0</v>
      </c>
      <c r="H125" s="314">
        <f t="shared" si="10"/>
        <v>0</v>
      </c>
      <c r="I125" s="323">
        <f t="shared" si="18"/>
        <v>0</v>
      </c>
      <c r="J125" s="160">
        <f t="shared" si="11"/>
        <v>0</v>
      </c>
      <c r="K125" s="160"/>
      <c r="L125" s="316"/>
      <c r="M125" s="160">
        <f t="shared" si="12"/>
        <v>0</v>
      </c>
      <c r="N125" s="316"/>
      <c r="O125" s="160">
        <f t="shared" si="13"/>
        <v>0</v>
      </c>
      <c r="P125" s="160">
        <f t="shared" si="14"/>
        <v>0</v>
      </c>
    </row>
    <row r="126" spans="2:16">
      <c r="B126" t="str">
        <f t="shared" si="9"/>
        <v/>
      </c>
      <c r="C126" s="155">
        <f>IF(D94="","-",+C125+1)</f>
        <v>2044</v>
      </c>
      <c r="D126" s="156">
        <f>IF(F125+SUM(E$100:E125)=D$93,F125,D$93-SUM(E$100:E125))</f>
        <v>0</v>
      </c>
      <c r="E126" s="162">
        <f t="shared" si="15"/>
        <v>0</v>
      </c>
      <c r="F126" s="161">
        <f t="shared" si="16"/>
        <v>0</v>
      </c>
      <c r="G126" s="161">
        <f t="shared" si="17"/>
        <v>0</v>
      </c>
      <c r="H126" s="314">
        <f t="shared" si="10"/>
        <v>0</v>
      </c>
      <c r="I126" s="323">
        <f t="shared" si="18"/>
        <v>0</v>
      </c>
      <c r="J126" s="160">
        <f t="shared" si="11"/>
        <v>0</v>
      </c>
      <c r="K126" s="160"/>
      <c r="L126" s="316"/>
      <c r="M126" s="160">
        <f t="shared" si="12"/>
        <v>0</v>
      </c>
      <c r="N126" s="316"/>
      <c r="O126" s="160">
        <f t="shared" si="13"/>
        <v>0</v>
      </c>
      <c r="P126" s="160">
        <f t="shared" si="14"/>
        <v>0</v>
      </c>
    </row>
    <row r="127" spans="2:16">
      <c r="B127" t="str">
        <f t="shared" si="9"/>
        <v/>
      </c>
      <c r="C127" s="155">
        <f>IF(D94="","-",+C126+1)</f>
        <v>2045</v>
      </c>
      <c r="D127" s="156">
        <f>IF(F126+SUM(E$100:E126)=D$93,F126,D$93-SUM(E$100:E126))</f>
        <v>0</v>
      </c>
      <c r="E127" s="162">
        <f t="shared" si="15"/>
        <v>0</v>
      </c>
      <c r="F127" s="161">
        <f t="shared" si="16"/>
        <v>0</v>
      </c>
      <c r="G127" s="161">
        <f t="shared" si="17"/>
        <v>0</v>
      </c>
      <c r="H127" s="314">
        <f t="shared" si="10"/>
        <v>0</v>
      </c>
      <c r="I127" s="323">
        <f t="shared" si="18"/>
        <v>0</v>
      </c>
      <c r="J127" s="160">
        <f t="shared" si="11"/>
        <v>0</v>
      </c>
      <c r="K127" s="160"/>
      <c r="L127" s="316"/>
      <c r="M127" s="160">
        <f t="shared" si="12"/>
        <v>0</v>
      </c>
      <c r="N127" s="316"/>
      <c r="O127" s="160">
        <f t="shared" si="13"/>
        <v>0</v>
      </c>
      <c r="P127" s="160">
        <f t="shared" si="14"/>
        <v>0</v>
      </c>
    </row>
    <row r="128" spans="2:16">
      <c r="B128" t="str">
        <f t="shared" si="9"/>
        <v/>
      </c>
      <c r="C128" s="155">
        <f>IF(D94="","-",+C127+1)</f>
        <v>2046</v>
      </c>
      <c r="D128" s="156">
        <f>IF(F127+SUM(E$100:E127)=D$93,F127,D$93-SUM(E$100:E127))</f>
        <v>0</v>
      </c>
      <c r="E128" s="162">
        <f t="shared" si="15"/>
        <v>0</v>
      </c>
      <c r="F128" s="161">
        <f t="shared" si="16"/>
        <v>0</v>
      </c>
      <c r="G128" s="161">
        <f t="shared" si="17"/>
        <v>0</v>
      </c>
      <c r="H128" s="314">
        <f t="shared" si="10"/>
        <v>0</v>
      </c>
      <c r="I128" s="323">
        <f t="shared" si="18"/>
        <v>0</v>
      </c>
      <c r="J128" s="160">
        <f t="shared" si="11"/>
        <v>0</v>
      </c>
      <c r="K128" s="160"/>
      <c r="L128" s="316"/>
      <c r="M128" s="160">
        <f t="shared" si="12"/>
        <v>0</v>
      </c>
      <c r="N128" s="316"/>
      <c r="O128" s="160">
        <f t="shared" si="13"/>
        <v>0</v>
      </c>
      <c r="P128" s="160">
        <f t="shared" si="14"/>
        <v>0</v>
      </c>
    </row>
    <row r="129" spans="2:16">
      <c r="B129" t="str">
        <f t="shared" si="9"/>
        <v/>
      </c>
      <c r="C129" s="155">
        <f>IF(D94="","-",+C128+1)</f>
        <v>2047</v>
      </c>
      <c r="D129" s="156">
        <f>IF(F128+SUM(E$100:E128)=D$93,F128,D$93-SUM(E$100:E128))</f>
        <v>0</v>
      </c>
      <c r="E129" s="162">
        <f t="shared" si="15"/>
        <v>0</v>
      </c>
      <c r="F129" s="161">
        <f t="shared" si="16"/>
        <v>0</v>
      </c>
      <c r="G129" s="161">
        <f t="shared" si="17"/>
        <v>0</v>
      </c>
      <c r="H129" s="314">
        <f t="shared" si="10"/>
        <v>0</v>
      </c>
      <c r="I129" s="323">
        <f t="shared" si="18"/>
        <v>0</v>
      </c>
      <c r="J129" s="160">
        <f t="shared" si="11"/>
        <v>0</v>
      </c>
      <c r="K129" s="160"/>
      <c r="L129" s="316"/>
      <c r="M129" s="160">
        <f t="shared" si="12"/>
        <v>0</v>
      </c>
      <c r="N129" s="316"/>
      <c r="O129" s="160">
        <f t="shared" si="13"/>
        <v>0</v>
      </c>
      <c r="P129" s="160">
        <f t="shared" si="14"/>
        <v>0</v>
      </c>
    </row>
    <row r="130" spans="2:16">
      <c r="B130" t="str">
        <f t="shared" si="9"/>
        <v/>
      </c>
      <c r="C130" s="155">
        <f>IF(D94="","-",+C129+1)</f>
        <v>2048</v>
      </c>
      <c r="D130" s="156">
        <f>IF(F129+SUM(E$100:E129)=D$93,F129,D$93-SUM(E$100:E129))</f>
        <v>0</v>
      </c>
      <c r="E130" s="162">
        <f t="shared" si="15"/>
        <v>0</v>
      </c>
      <c r="F130" s="161">
        <f t="shared" si="16"/>
        <v>0</v>
      </c>
      <c r="G130" s="161">
        <f t="shared" si="17"/>
        <v>0</v>
      </c>
      <c r="H130" s="314">
        <f t="shared" si="10"/>
        <v>0</v>
      </c>
      <c r="I130" s="323">
        <f t="shared" si="18"/>
        <v>0</v>
      </c>
      <c r="J130" s="160">
        <f t="shared" si="11"/>
        <v>0</v>
      </c>
      <c r="K130" s="160"/>
      <c r="L130" s="316"/>
      <c r="M130" s="160">
        <f t="shared" si="12"/>
        <v>0</v>
      </c>
      <c r="N130" s="316"/>
      <c r="O130" s="160">
        <f t="shared" si="13"/>
        <v>0</v>
      </c>
      <c r="P130" s="160">
        <f t="shared" si="14"/>
        <v>0</v>
      </c>
    </row>
    <row r="131" spans="2:16">
      <c r="B131" t="str">
        <f t="shared" si="9"/>
        <v/>
      </c>
      <c r="C131" s="155">
        <f>IF(D94="","-",+C130+1)</f>
        <v>2049</v>
      </c>
      <c r="D131" s="156">
        <f>IF(F130+SUM(E$100:E130)=D$93,F130,D$93-SUM(E$100:E130))</f>
        <v>0</v>
      </c>
      <c r="E131" s="162">
        <f t="shared" si="15"/>
        <v>0</v>
      </c>
      <c r="F131" s="161">
        <f t="shared" si="16"/>
        <v>0</v>
      </c>
      <c r="G131" s="161">
        <f t="shared" si="17"/>
        <v>0</v>
      </c>
      <c r="H131" s="314">
        <f t="shared" si="10"/>
        <v>0</v>
      </c>
      <c r="I131" s="323">
        <f t="shared" si="18"/>
        <v>0</v>
      </c>
      <c r="J131" s="160">
        <f t="shared" si="11"/>
        <v>0</v>
      </c>
      <c r="K131" s="160"/>
      <c r="L131" s="316"/>
      <c r="M131" s="160">
        <f t="shared" si="12"/>
        <v>0</v>
      </c>
      <c r="N131" s="316"/>
      <c r="O131" s="160">
        <f t="shared" si="13"/>
        <v>0</v>
      </c>
      <c r="P131" s="160">
        <f t="shared" si="14"/>
        <v>0</v>
      </c>
    </row>
    <row r="132" spans="2:16">
      <c r="B132" t="str">
        <f t="shared" si="9"/>
        <v/>
      </c>
      <c r="C132" s="155">
        <f>IF(D94="","-",+C131+1)</f>
        <v>2050</v>
      </c>
      <c r="D132" s="156">
        <f>IF(F131+SUM(E$100:E131)=D$93,F131,D$93-SUM(E$100:E131))</f>
        <v>0</v>
      </c>
      <c r="E132" s="162">
        <f t="shared" si="15"/>
        <v>0</v>
      </c>
      <c r="F132" s="161">
        <f t="shared" si="16"/>
        <v>0</v>
      </c>
      <c r="G132" s="161">
        <f t="shared" si="17"/>
        <v>0</v>
      </c>
      <c r="H132" s="314">
        <f t="shared" si="10"/>
        <v>0</v>
      </c>
      <c r="I132" s="323">
        <f t="shared" si="18"/>
        <v>0</v>
      </c>
      <c r="J132" s="160">
        <f t="shared" ref="J132:J155" si="19">+I542-H542</f>
        <v>0</v>
      </c>
      <c r="K132" s="160"/>
      <c r="L132" s="316"/>
      <c r="M132" s="160">
        <f t="shared" ref="M132:M155" si="20">IF(L542&lt;&gt;0,+H542-L542,0)</f>
        <v>0</v>
      </c>
      <c r="N132" s="316"/>
      <c r="O132" s="160">
        <f t="shared" ref="O132:O155" si="21">IF(N542&lt;&gt;0,+I542-N542,0)</f>
        <v>0</v>
      </c>
      <c r="P132" s="160">
        <f t="shared" ref="P132:P155" si="22">+O542-M542</f>
        <v>0</v>
      </c>
    </row>
    <row r="133" spans="2:16">
      <c r="B133" t="str">
        <f t="shared" si="9"/>
        <v/>
      </c>
      <c r="C133" s="155">
        <f>IF(D94="","-",+C132+1)</f>
        <v>2051</v>
      </c>
      <c r="D133" s="156">
        <f>IF(F132+SUM(E$100:E132)=D$93,F132,D$93-SUM(E$100:E132))</f>
        <v>0</v>
      </c>
      <c r="E133" s="162">
        <f t="shared" si="15"/>
        <v>0</v>
      </c>
      <c r="F133" s="161">
        <f t="shared" si="16"/>
        <v>0</v>
      </c>
      <c r="G133" s="161">
        <f t="shared" si="17"/>
        <v>0</v>
      </c>
      <c r="H133" s="314">
        <f t="shared" si="10"/>
        <v>0</v>
      </c>
      <c r="I133" s="323">
        <f t="shared" si="18"/>
        <v>0</v>
      </c>
      <c r="J133" s="160">
        <f t="shared" si="19"/>
        <v>0</v>
      </c>
      <c r="K133" s="160"/>
      <c r="L133" s="316"/>
      <c r="M133" s="160">
        <f t="shared" si="20"/>
        <v>0</v>
      </c>
      <c r="N133" s="316"/>
      <c r="O133" s="160">
        <f t="shared" si="21"/>
        <v>0</v>
      </c>
      <c r="P133" s="160">
        <f t="shared" si="22"/>
        <v>0</v>
      </c>
    </row>
    <row r="134" spans="2:16">
      <c r="B134" t="str">
        <f t="shared" si="9"/>
        <v/>
      </c>
      <c r="C134" s="155">
        <f>IF(D94="","-",+C133+1)</f>
        <v>2052</v>
      </c>
      <c r="D134" s="156">
        <f>IF(F133+SUM(E$100:E133)=D$93,F133,D$93-SUM(E$100:E133))</f>
        <v>0</v>
      </c>
      <c r="E134" s="162">
        <f t="shared" si="15"/>
        <v>0</v>
      </c>
      <c r="F134" s="161">
        <f t="shared" si="16"/>
        <v>0</v>
      </c>
      <c r="G134" s="161">
        <f t="shared" si="17"/>
        <v>0</v>
      </c>
      <c r="H134" s="314">
        <f t="shared" si="10"/>
        <v>0</v>
      </c>
      <c r="I134" s="323">
        <f t="shared" si="18"/>
        <v>0</v>
      </c>
      <c r="J134" s="160">
        <f t="shared" si="19"/>
        <v>0</v>
      </c>
      <c r="K134" s="160"/>
      <c r="L134" s="316"/>
      <c r="M134" s="160">
        <f t="shared" si="20"/>
        <v>0</v>
      </c>
      <c r="N134" s="316"/>
      <c r="O134" s="160">
        <f t="shared" si="21"/>
        <v>0</v>
      </c>
      <c r="P134" s="160">
        <f t="shared" si="22"/>
        <v>0</v>
      </c>
    </row>
    <row r="135" spans="2:16">
      <c r="B135" t="str">
        <f t="shared" si="9"/>
        <v/>
      </c>
      <c r="C135" s="155">
        <f>IF(D94="","-",+C134+1)</f>
        <v>2053</v>
      </c>
      <c r="D135" s="156">
        <f>IF(F134+SUM(E$100:E134)=D$93,F134,D$93-SUM(E$100:E134))</f>
        <v>0</v>
      </c>
      <c r="E135" s="162">
        <f t="shared" si="15"/>
        <v>0</v>
      </c>
      <c r="F135" s="161">
        <f t="shared" si="16"/>
        <v>0</v>
      </c>
      <c r="G135" s="161">
        <f t="shared" si="17"/>
        <v>0</v>
      </c>
      <c r="H135" s="314">
        <f t="shared" si="10"/>
        <v>0</v>
      </c>
      <c r="I135" s="323">
        <f t="shared" si="18"/>
        <v>0</v>
      </c>
      <c r="J135" s="160">
        <f t="shared" si="19"/>
        <v>0</v>
      </c>
      <c r="K135" s="160"/>
      <c r="L135" s="316"/>
      <c r="M135" s="160">
        <f t="shared" si="20"/>
        <v>0</v>
      </c>
      <c r="N135" s="316"/>
      <c r="O135" s="160">
        <f t="shared" si="21"/>
        <v>0</v>
      </c>
      <c r="P135" s="160">
        <f t="shared" si="22"/>
        <v>0</v>
      </c>
    </row>
    <row r="136" spans="2:16">
      <c r="B136" t="str">
        <f t="shared" si="9"/>
        <v/>
      </c>
      <c r="C136" s="155">
        <f>IF(D94="","-",+C135+1)</f>
        <v>2054</v>
      </c>
      <c r="D136" s="156">
        <f>IF(F135+SUM(E$100:E135)=D$93,F135,D$93-SUM(E$100:E135))</f>
        <v>0</v>
      </c>
      <c r="E136" s="162">
        <f t="shared" si="15"/>
        <v>0</v>
      </c>
      <c r="F136" s="161">
        <f t="shared" si="16"/>
        <v>0</v>
      </c>
      <c r="G136" s="161">
        <f t="shared" si="17"/>
        <v>0</v>
      </c>
      <c r="H136" s="314">
        <f t="shared" si="10"/>
        <v>0</v>
      </c>
      <c r="I136" s="323">
        <f t="shared" si="18"/>
        <v>0</v>
      </c>
      <c r="J136" s="160">
        <f t="shared" si="19"/>
        <v>0</v>
      </c>
      <c r="K136" s="160"/>
      <c r="L136" s="316"/>
      <c r="M136" s="160">
        <f t="shared" si="20"/>
        <v>0</v>
      </c>
      <c r="N136" s="316"/>
      <c r="O136" s="160">
        <f t="shared" si="21"/>
        <v>0</v>
      </c>
      <c r="P136" s="160">
        <f t="shared" si="22"/>
        <v>0</v>
      </c>
    </row>
    <row r="137" spans="2:16">
      <c r="B137" t="str">
        <f t="shared" si="9"/>
        <v/>
      </c>
      <c r="C137" s="155">
        <f>IF(D94="","-",+C136+1)</f>
        <v>2055</v>
      </c>
      <c r="D137" s="156">
        <f>IF(F136+SUM(E$100:E136)=D$93,F136,D$93-SUM(E$100:E136))</f>
        <v>0</v>
      </c>
      <c r="E137" s="162">
        <f t="shared" si="15"/>
        <v>0</v>
      </c>
      <c r="F137" s="161">
        <f t="shared" si="16"/>
        <v>0</v>
      </c>
      <c r="G137" s="161">
        <f t="shared" si="17"/>
        <v>0</v>
      </c>
      <c r="H137" s="314">
        <f t="shared" si="10"/>
        <v>0</v>
      </c>
      <c r="I137" s="323">
        <f t="shared" si="18"/>
        <v>0</v>
      </c>
      <c r="J137" s="160">
        <f t="shared" si="19"/>
        <v>0</v>
      </c>
      <c r="K137" s="160"/>
      <c r="L137" s="316"/>
      <c r="M137" s="160">
        <f t="shared" si="20"/>
        <v>0</v>
      </c>
      <c r="N137" s="316"/>
      <c r="O137" s="160">
        <f t="shared" si="21"/>
        <v>0</v>
      </c>
      <c r="P137" s="160">
        <f t="shared" si="22"/>
        <v>0</v>
      </c>
    </row>
    <row r="138" spans="2:16">
      <c r="B138" t="str">
        <f t="shared" si="9"/>
        <v/>
      </c>
      <c r="C138" s="155">
        <f>IF(D94="","-",+C137+1)</f>
        <v>2056</v>
      </c>
      <c r="D138" s="156">
        <f>IF(F137+SUM(E$100:E137)=D$93,F137,D$93-SUM(E$100:E137))</f>
        <v>0</v>
      </c>
      <c r="E138" s="162">
        <f t="shared" si="15"/>
        <v>0</v>
      </c>
      <c r="F138" s="161">
        <f t="shared" si="16"/>
        <v>0</v>
      </c>
      <c r="G138" s="161">
        <f t="shared" si="17"/>
        <v>0</v>
      </c>
      <c r="H138" s="314">
        <f t="shared" si="10"/>
        <v>0</v>
      </c>
      <c r="I138" s="323">
        <f t="shared" si="18"/>
        <v>0</v>
      </c>
      <c r="J138" s="160">
        <f t="shared" si="19"/>
        <v>0</v>
      </c>
      <c r="K138" s="160"/>
      <c r="L138" s="316"/>
      <c r="M138" s="160">
        <f t="shared" si="20"/>
        <v>0</v>
      </c>
      <c r="N138" s="316"/>
      <c r="O138" s="160">
        <f t="shared" si="21"/>
        <v>0</v>
      </c>
      <c r="P138" s="160">
        <f t="shared" si="22"/>
        <v>0</v>
      </c>
    </row>
    <row r="139" spans="2:16">
      <c r="B139" t="str">
        <f t="shared" si="9"/>
        <v/>
      </c>
      <c r="C139" s="155">
        <f>IF(D94="","-",+C138+1)</f>
        <v>2057</v>
      </c>
      <c r="D139" s="156">
        <f>IF(F138+SUM(E$100:E138)=D$93,F138,D$93-SUM(E$100:E138))</f>
        <v>0</v>
      </c>
      <c r="E139" s="162">
        <f t="shared" si="15"/>
        <v>0</v>
      </c>
      <c r="F139" s="161">
        <f t="shared" si="16"/>
        <v>0</v>
      </c>
      <c r="G139" s="161">
        <f t="shared" si="17"/>
        <v>0</v>
      </c>
      <c r="H139" s="314">
        <f t="shared" si="10"/>
        <v>0</v>
      </c>
      <c r="I139" s="323">
        <f t="shared" si="18"/>
        <v>0</v>
      </c>
      <c r="J139" s="160">
        <f t="shared" si="19"/>
        <v>0</v>
      </c>
      <c r="K139" s="160"/>
      <c r="L139" s="316"/>
      <c r="M139" s="160">
        <f t="shared" si="20"/>
        <v>0</v>
      </c>
      <c r="N139" s="316"/>
      <c r="O139" s="160">
        <f t="shared" si="21"/>
        <v>0</v>
      </c>
      <c r="P139" s="160">
        <f t="shared" si="22"/>
        <v>0</v>
      </c>
    </row>
    <row r="140" spans="2:16">
      <c r="B140" t="str">
        <f t="shared" si="9"/>
        <v/>
      </c>
      <c r="C140" s="155">
        <f>IF(D94="","-",+C139+1)</f>
        <v>2058</v>
      </c>
      <c r="D140" s="156">
        <f>IF(F139+SUM(E$100:E139)=D$93,F139,D$93-SUM(E$100:E139))</f>
        <v>0</v>
      </c>
      <c r="E140" s="162">
        <f t="shared" si="15"/>
        <v>0</v>
      </c>
      <c r="F140" s="161">
        <f t="shared" si="16"/>
        <v>0</v>
      </c>
      <c r="G140" s="161">
        <f t="shared" si="17"/>
        <v>0</v>
      </c>
      <c r="H140" s="314">
        <f t="shared" si="10"/>
        <v>0</v>
      </c>
      <c r="I140" s="323">
        <f t="shared" si="18"/>
        <v>0</v>
      </c>
      <c r="J140" s="160">
        <f t="shared" si="19"/>
        <v>0</v>
      </c>
      <c r="K140" s="160"/>
      <c r="L140" s="316"/>
      <c r="M140" s="160">
        <f t="shared" si="20"/>
        <v>0</v>
      </c>
      <c r="N140" s="316"/>
      <c r="O140" s="160">
        <f t="shared" si="21"/>
        <v>0</v>
      </c>
      <c r="P140" s="160">
        <f t="shared" si="22"/>
        <v>0</v>
      </c>
    </row>
    <row r="141" spans="2:16">
      <c r="B141" t="str">
        <f t="shared" si="9"/>
        <v/>
      </c>
      <c r="C141" s="155">
        <f>IF(D94="","-",+C140+1)</f>
        <v>2059</v>
      </c>
      <c r="D141" s="156">
        <f>IF(F140+SUM(E$100:E140)=D$93,F140,D$93-SUM(E$100:E140))</f>
        <v>0</v>
      </c>
      <c r="E141" s="162">
        <f t="shared" si="15"/>
        <v>0</v>
      </c>
      <c r="F141" s="161">
        <f t="shared" si="16"/>
        <v>0</v>
      </c>
      <c r="G141" s="161">
        <f t="shared" si="17"/>
        <v>0</v>
      </c>
      <c r="H141" s="314">
        <f t="shared" si="10"/>
        <v>0</v>
      </c>
      <c r="I141" s="323">
        <f t="shared" si="18"/>
        <v>0</v>
      </c>
      <c r="J141" s="160">
        <f t="shared" si="19"/>
        <v>0</v>
      </c>
      <c r="K141" s="160"/>
      <c r="L141" s="316"/>
      <c r="M141" s="160">
        <f t="shared" si="20"/>
        <v>0</v>
      </c>
      <c r="N141" s="316"/>
      <c r="O141" s="160">
        <f t="shared" si="21"/>
        <v>0</v>
      </c>
      <c r="P141" s="160">
        <f t="shared" si="22"/>
        <v>0</v>
      </c>
    </row>
    <row r="142" spans="2:16">
      <c r="B142" t="str">
        <f t="shared" si="9"/>
        <v/>
      </c>
      <c r="C142" s="155">
        <f>IF(D94="","-",+C141+1)</f>
        <v>2060</v>
      </c>
      <c r="D142" s="156">
        <f>IF(F141+SUM(E$100:E141)=D$93,F141,D$93-SUM(E$100:E141))</f>
        <v>0</v>
      </c>
      <c r="E142" s="162">
        <f t="shared" si="15"/>
        <v>0</v>
      </c>
      <c r="F142" s="161">
        <f t="shared" si="16"/>
        <v>0</v>
      </c>
      <c r="G142" s="161">
        <f t="shared" si="17"/>
        <v>0</v>
      </c>
      <c r="H142" s="314">
        <f t="shared" si="10"/>
        <v>0</v>
      </c>
      <c r="I142" s="323">
        <f t="shared" si="18"/>
        <v>0</v>
      </c>
      <c r="J142" s="160">
        <f t="shared" si="19"/>
        <v>0</v>
      </c>
      <c r="K142" s="160"/>
      <c r="L142" s="316"/>
      <c r="M142" s="160">
        <f t="shared" si="20"/>
        <v>0</v>
      </c>
      <c r="N142" s="316"/>
      <c r="O142" s="160">
        <f t="shared" si="21"/>
        <v>0</v>
      </c>
      <c r="P142" s="160">
        <f t="shared" si="22"/>
        <v>0</v>
      </c>
    </row>
    <row r="143" spans="2:16">
      <c r="B143" t="str">
        <f t="shared" si="9"/>
        <v/>
      </c>
      <c r="C143" s="155">
        <f>IF(D94="","-",+C142+1)</f>
        <v>2061</v>
      </c>
      <c r="D143" s="156">
        <f>IF(F142+SUM(E$100:E142)=D$93,F142,D$93-SUM(E$100:E142))</f>
        <v>0</v>
      </c>
      <c r="E143" s="162">
        <f t="shared" si="15"/>
        <v>0</v>
      </c>
      <c r="F143" s="161">
        <f t="shared" si="16"/>
        <v>0</v>
      </c>
      <c r="G143" s="161">
        <f t="shared" si="17"/>
        <v>0</v>
      </c>
      <c r="H143" s="314">
        <f t="shared" si="10"/>
        <v>0</v>
      </c>
      <c r="I143" s="323">
        <f t="shared" si="18"/>
        <v>0</v>
      </c>
      <c r="J143" s="160">
        <f t="shared" si="19"/>
        <v>0</v>
      </c>
      <c r="K143" s="160"/>
      <c r="L143" s="316"/>
      <c r="M143" s="160">
        <f t="shared" si="20"/>
        <v>0</v>
      </c>
      <c r="N143" s="316"/>
      <c r="O143" s="160">
        <f t="shared" si="21"/>
        <v>0</v>
      </c>
      <c r="P143" s="160">
        <f t="shared" si="22"/>
        <v>0</v>
      </c>
    </row>
    <row r="144" spans="2:16">
      <c r="B144" t="str">
        <f t="shared" si="9"/>
        <v/>
      </c>
      <c r="C144" s="155">
        <f>IF(D94="","-",+C143+1)</f>
        <v>2062</v>
      </c>
      <c r="D144" s="156">
        <f>IF(F143+SUM(E$100:E143)=D$93,F143,D$93-SUM(E$100:E143))</f>
        <v>0</v>
      </c>
      <c r="E144" s="162">
        <f t="shared" si="15"/>
        <v>0</v>
      </c>
      <c r="F144" s="161">
        <f t="shared" si="16"/>
        <v>0</v>
      </c>
      <c r="G144" s="161">
        <f t="shared" si="17"/>
        <v>0</v>
      </c>
      <c r="H144" s="314">
        <f t="shared" si="10"/>
        <v>0</v>
      </c>
      <c r="I144" s="323">
        <f t="shared" si="18"/>
        <v>0</v>
      </c>
      <c r="J144" s="160">
        <f t="shared" si="19"/>
        <v>0</v>
      </c>
      <c r="K144" s="160"/>
      <c r="L144" s="316"/>
      <c r="M144" s="160">
        <f t="shared" si="20"/>
        <v>0</v>
      </c>
      <c r="N144" s="316"/>
      <c r="O144" s="160">
        <f t="shared" si="21"/>
        <v>0</v>
      </c>
      <c r="P144" s="160">
        <f t="shared" si="22"/>
        <v>0</v>
      </c>
    </row>
    <row r="145" spans="2:16">
      <c r="B145" t="str">
        <f t="shared" si="9"/>
        <v/>
      </c>
      <c r="C145" s="155">
        <f>IF(D94="","-",+C144+1)</f>
        <v>2063</v>
      </c>
      <c r="D145" s="156">
        <f>IF(F144+SUM(E$100:E144)=D$93,F144,D$93-SUM(E$100:E144))</f>
        <v>0</v>
      </c>
      <c r="E145" s="162">
        <f t="shared" si="15"/>
        <v>0</v>
      </c>
      <c r="F145" s="161">
        <f t="shared" si="16"/>
        <v>0</v>
      </c>
      <c r="G145" s="161">
        <f t="shared" si="17"/>
        <v>0</v>
      </c>
      <c r="H145" s="314">
        <f t="shared" si="10"/>
        <v>0</v>
      </c>
      <c r="I145" s="323">
        <f t="shared" si="18"/>
        <v>0</v>
      </c>
      <c r="J145" s="160">
        <f t="shared" si="19"/>
        <v>0</v>
      </c>
      <c r="K145" s="160"/>
      <c r="L145" s="316"/>
      <c r="M145" s="160">
        <f t="shared" si="20"/>
        <v>0</v>
      </c>
      <c r="N145" s="316"/>
      <c r="O145" s="160">
        <f t="shared" si="21"/>
        <v>0</v>
      </c>
      <c r="P145" s="160">
        <f t="shared" si="22"/>
        <v>0</v>
      </c>
    </row>
    <row r="146" spans="2:16">
      <c r="B146" t="str">
        <f t="shared" si="9"/>
        <v/>
      </c>
      <c r="C146" s="155">
        <f>IF(D94="","-",+C145+1)</f>
        <v>2064</v>
      </c>
      <c r="D146" s="156">
        <f>IF(F145+SUM(E$100:E145)=D$93,F145,D$93-SUM(E$100:E145))</f>
        <v>0</v>
      </c>
      <c r="E146" s="162">
        <f t="shared" si="15"/>
        <v>0</v>
      </c>
      <c r="F146" s="161">
        <f t="shared" si="16"/>
        <v>0</v>
      </c>
      <c r="G146" s="161">
        <f t="shared" si="17"/>
        <v>0</v>
      </c>
      <c r="H146" s="314">
        <f t="shared" si="10"/>
        <v>0</v>
      </c>
      <c r="I146" s="323">
        <f t="shared" si="18"/>
        <v>0</v>
      </c>
      <c r="J146" s="160">
        <f t="shared" si="19"/>
        <v>0</v>
      </c>
      <c r="K146" s="160"/>
      <c r="L146" s="316"/>
      <c r="M146" s="160">
        <f t="shared" si="20"/>
        <v>0</v>
      </c>
      <c r="N146" s="316"/>
      <c r="O146" s="160">
        <f t="shared" si="21"/>
        <v>0</v>
      </c>
      <c r="P146" s="160">
        <f t="shared" si="22"/>
        <v>0</v>
      </c>
    </row>
    <row r="147" spans="2:16">
      <c r="B147" t="str">
        <f t="shared" si="9"/>
        <v/>
      </c>
      <c r="C147" s="155">
        <f>IF(D94="","-",+C146+1)</f>
        <v>2065</v>
      </c>
      <c r="D147" s="156">
        <f>IF(F146+SUM(E$100:E146)=D$93,F146,D$93-SUM(E$100:E146))</f>
        <v>0</v>
      </c>
      <c r="E147" s="162">
        <f t="shared" si="15"/>
        <v>0</v>
      </c>
      <c r="F147" s="161">
        <f t="shared" si="16"/>
        <v>0</v>
      </c>
      <c r="G147" s="161">
        <f t="shared" si="17"/>
        <v>0</v>
      </c>
      <c r="H147" s="314">
        <f t="shared" si="10"/>
        <v>0</v>
      </c>
      <c r="I147" s="323">
        <f t="shared" si="18"/>
        <v>0</v>
      </c>
      <c r="J147" s="160">
        <f t="shared" si="19"/>
        <v>0</v>
      </c>
      <c r="K147" s="160"/>
      <c r="L147" s="316"/>
      <c r="M147" s="160">
        <f t="shared" si="20"/>
        <v>0</v>
      </c>
      <c r="N147" s="316"/>
      <c r="O147" s="160">
        <f t="shared" si="21"/>
        <v>0</v>
      </c>
      <c r="P147" s="160">
        <f t="shared" si="22"/>
        <v>0</v>
      </c>
    </row>
    <row r="148" spans="2:16">
      <c r="B148" t="str">
        <f t="shared" si="9"/>
        <v/>
      </c>
      <c r="C148" s="155">
        <f>IF(D94="","-",+C147+1)</f>
        <v>2066</v>
      </c>
      <c r="D148" s="156">
        <f>IF(F147+SUM(E$100:E147)=D$93,F147,D$93-SUM(E$100:E147))</f>
        <v>0</v>
      </c>
      <c r="E148" s="162">
        <f t="shared" si="15"/>
        <v>0</v>
      </c>
      <c r="F148" s="161">
        <f t="shared" si="16"/>
        <v>0</v>
      </c>
      <c r="G148" s="161">
        <f t="shared" si="17"/>
        <v>0</v>
      </c>
      <c r="H148" s="314">
        <f t="shared" si="10"/>
        <v>0</v>
      </c>
      <c r="I148" s="323">
        <f t="shared" si="18"/>
        <v>0</v>
      </c>
      <c r="J148" s="160">
        <f t="shared" si="19"/>
        <v>0</v>
      </c>
      <c r="K148" s="160"/>
      <c r="L148" s="316"/>
      <c r="M148" s="160">
        <f t="shared" si="20"/>
        <v>0</v>
      </c>
      <c r="N148" s="316"/>
      <c r="O148" s="160">
        <f t="shared" si="21"/>
        <v>0</v>
      </c>
      <c r="P148" s="160">
        <f t="shared" si="22"/>
        <v>0</v>
      </c>
    </row>
    <row r="149" spans="2:16">
      <c r="B149" t="str">
        <f t="shared" si="9"/>
        <v/>
      </c>
      <c r="C149" s="155">
        <f>IF(D94="","-",+C148+1)</f>
        <v>2067</v>
      </c>
      <c r="D149" s="156">
        <f>IF(F148+SUM(E$100:E148)=D$93,F148,D$93-SUM(E$100:E148))</f>
        <v>0</v>
      </c>
      <c r="E149" s="162">
        <f t="shared" si="15"/>
        <v>0</v>
      </c>
      <c r="F149" s="161">
        <f t="shared" si="16"/>
        <v>0</v>
      </c>
      <c r="G149" s="161">
        <f t="shared" si="17"/>
        <v>0</v>
      </c>
      <c r="H149" s="314">
        <f t="shared" si="10"/>
        <v>0</v>
      </c>
      <c r="I149" s="323">
        <f t="shared" si="18"/>
        <v>0</v>
      </c>
      <c r="J149" s="160">
        <f t="shared" si="19"/>
        <v>0</v>
      </c>
      <c r="K149" s="160"/>
      <c r="L149" s="316"/>
      <c r="M149" s="160">
        <f t="shared" si="20"/>
        <v>0</v>
      </c>
      <c r="N149" s="316"/>
      <c r="O149" s="160">
        <f t="shared" si="21"/>
        <v>0</v>
      </c>
      <c r="P149" s="160">
        <f t="shared" si="22"/>
        <v>0</v>
      </c>
    </row>
    <row r="150" spans="2:16">
      <c r="B150" t="str">
        <f t="shared" si="9"/>
        <v/>
      </c>
      <c r="C150" s="155">
        <f>IF(D94="","-",+C149+1)</f>
        <v>2068</v>
      </c>
      <c r="D150" s="156">
        <f>IF(F149+SUM(E$100:E149)=D$93,F149,D$93-SUM(E$100:E149))</f>
        <v>0</v>
      </c>
      <c r="E150" s="162">
        <f t="shared" si="15"/>
        <v>0</v>
      </c>
      <c r="F150" s="161">
        <f t="shared" si="16"/>
        <v>0</v>
      </c>
      <c r="G150" s="161">
        <f t="shared" si="17"/>
        <v>0</v>
      </c>
      <c r="H150" s="314">
        <f t="shared" si="10"/>
        <v>0</v>
      </c>
      <c r="I150" s="323">
        <f t="shared" si="18"/>
        <v>0</v>
      </c>
      <c r="J150" s="160">
        <f t="shared" si="19"/>
        <v>0</v>
      </c>
      <c r="K150" s="160"/>
      <c r="L150" s="316"/>
      <c r="M150" s="160">
        <f t="shared" si="20"/>
        <v>0</v>
      </c>
      <c r="N150" s="316"/>
      <c r="O150" s="160">
        <f t="shared" si="21"/>
        <v>0</v>
      </c>
      <c r="P150" s="160">
        <f t="shared" si="22"/>
        <v>0</v>
      </c>
    </row>
    <row r="151" spans="2:16">
      <c r="B151" t="str">
        <f t="shared" si="9"/>
        <v/>
      </c>
      <c r="C151" s="155">
        <f>IF(D94="","-",+C150+1)</f>
        <v>2069</v>
      </c>
      <c r="D151" s="156">
        <f>IF(F150+SUM(E$100:E150)=D$93,F150,D$93-SUM(E$100:E150))</f>
        <v>0</v>
      </c>
      <c r="E151" s="162">
        <f t="shared" si="15"/>
        <v>0</v>
      </c>
      <c r="F151" s="161">
        <f t="shared" si="16"/>
        <v>0</v>
      </c>
      <c r="G151" s="161">
        <f t="shared" si="17"/>
        <v>0</v>
      </c>
      <c r="H151" s="314">
        <f t="shared" si="10"/>
        <v>0</v>
      </c>
      <c r="I151" s="323">
        <f t="shared" si="18"/>
        <v>0</v>
      </c>
      <c r="J151" s="160">
        <f t="shared" si="19"/>
        <v>0</v>
      </c>
      <c r="K151" s="160"/>
      <c r="L151" s="316"/>
      <c r="M151" s="160">
        <f t="shared" si="20"/>
        <v>0</v>
      </c>
      <c r="N151" s="316"/>
      <c r="O151" s="160">
        <f t="shared" si="21"/>
        <v>0</v>
      </c>
      <c r="P151" s="160">
        <f t="shared" si="22"/>
        <v>0</v>
      </c>
    </row>
    <row r="152" spans="2:16">
      <c r="B152" t="str">
        <f t="shared" si="9"/>
        <v/>
      </c>
      <c r="C152" s="155">
        <f>IF(D94="","-",+C151+1)</f>
        <v>2070</v>
      </c>
      <c r="D152" s="156">
        <f>IF(F151+SUM(E$100:E151)=D$93,F151,D$93-SUM(E$100:E151))</f>
        <v>0</v>
      </c>
      <c r="E152" s="162">
        <f t="shared" si="15"/>
        <v>0</v>
      </c>
      <c r="F152" s="161">
        <f t="shared" si="16"/>
        <v>0</v>
      </c>
      <c r="G152" s="161">
        <f t="shared" si="17"/>
        <v>0</v>
      </c>
      <c r="H152" s="314">
        <f t="shared" si="10"/>
        <v>0</v>
      </c>
      <c r="I152" s="323">
        <f t="shared" si="18"/>
        <v>0</v>
      </c>
      <c r="J152" s="160">
        <f t="shared" si="19"/>
        <v>0</v>
      </c>
      <c r="K152" s="160"/>
      <c r="L152" s="316"/>
      <c r="M152" s="160">
        <f t="shared" si="20"/>
        <v>0</v>
      </c>
      <c r="N152" s="316"/>
      <c r="O152" s="160">
        <f t="shared" si="21"/>
        <v>0</v>
      </c>
      <c r="P152" s="160">
        <f t="shared" si="22"/>
        <v>0</v>
      </c>
    </row>
    <row r="153" spans="2:16">
      <c r="B153" t="str">
        <f t="shared" si="9"/>
        <v/>
      </c>
      <c r="C153" s="155">
        <f>IF(D94="","-",+C152+1)</f>
        <v>2071</v>
      </c>
      <c r="D153" s="156">
        <f>IF(F152+SUM(E$100:E152)=D$93,F152,D$93-SUM(E$100:E152))</f>
        <v>0</v>
      </c>
      <c r="E153" s="162">
        <f t="shared" si="15"/>
        <v>0</v>
      </c>
      <c r="F153" s="161">
        <f t="shared" si="16"/>
        <v>0</v>
      </c>
      <c r="G153" s="161">
        <f t="shared" si="17"/>
        <v>0</v>
      </c>
      <c r="H153" s="314">
        <f t="shared" si="10"/>
        <v>0</v>
      </c>
      <c r="I153" s="323">
        <f t="shared" si="18"/>
        <v>0</v>
      </c>
      <c r="J153" s="160">
        <f t="shared" si="19"/>
        <v>0</v>
      </c>
      <c r="K153" s="160"/>
      <c r="L153" s="316"/>
      <c r="M153" s="160">
        <f t="shared" si="20"/>
        <v>0</v>
      </c>
      <c r="N153" s="316"/>
      <c r="O153" s="160">
        <f t="shared" si="21"/>
        <v>0</v>
      </c>
      <c r="P153" s="160">
        <f t="shared" si="22"/>
        <v>0</v>
      </c>
    </row>
    <row r="154" spans="2:16">
      <c r="B154" t="str">
        <f t="shared" si="9"/>
        <v/>
      </c>
      <c r="C154" s="155">
        <f>IF(D94="","-",+C153+1)</f>
        <v>2072</v>
      </c>
      <c r="D154" s="156">
        <f>IF(F153+SUM(E$100:E153)=D$93,F153,D$93-SUM(E$100:E153))</f>
        <v>0</v>
      </c>
      <c r="E154" s="162">
        <f t="shared" si="15"/>
        <v>0</v>
      </c>
      <c r="F154" s="161">
        <f t="shared" si="16"/>
        <v>0</v>
      </c>
      <c r="G154" s="161">
        <f t="shared" si="17"/>
        <v>0</v>
      </c>
      <c r="H154" s="314">
        <f t="shared" si="10"/>
        <v>0</v>
      </c>
      <c r="I154" s="323">
        <f t="shared" si="18"/>
        <v>0</v>
      </c>
      <c r="J154" s="160">
        <f t="shared" si="19"/>
        <v>0</v>
      </c>
      <c r="K154" s="160"/>
      <c r="L154" s="316"/>
      <c r="M154" s="160">
        <f t="shared" si="20"/>
        <v>0</v>
      </c>
      <c r="N154" s="316"/>
      <c r="O154" s="160">
        <f t="shared" si="21"/>
        <v>0</v>
      </c>
      <c r="P154" s="160">
        <f t="shared" si="22"/>
        <v>0</v>
      </c>
    </row>
    <row r="155" spans="2:16" ht="13.5" thickBot="1">
      <c r="B155" t="str">
        <f t="shared" si="9"/>
        <v/>
      </c>
      <c r="C155" s="166">
        <f>IF(D94="","-",+C154+1)</f>
        <v>2073</v>
      </c>
      <c r="D155" s="214">
        <f>IF(F154+SUM(E$100:E154)=D$93,F154,D$93-SUM(E$100:E154))</f>
        <v>0</v>
      </c>
      <c r="E155" s="168">
        <f t="shared" si="15"/>
        <v>0</v>
      </c>
      <c r="F155" s="167">
        <f t="shared" si="16"/>
        <v>0</v>
      </c>
      <c r="G155" s="167">
        <f t="shared" si="17"/>
        <v>0</v>
      </c>
      <c r="H155" s="324">
        <f t="shared" si="10"/>
        <v>0</v>
      </c>
      <c r="I155" s="325">
        <f t="shared" si="18"/>
        <v>0</v>
      </c>
      <c r="J155" s="171">
        <f t="shared" si="19"/>
        <v>0</v>
      </c>
      <c r="K155" s="160"/>
      <c r="L155" s="317"/>
      <c r="M155" s="171">
        <f t="shared" si="20"/>
        <v>0</v>
      </c>
      <c r="N155" s="317"/>
      <c r="O155" s="171">
        <f t="shared" si="21"/>
        <v>0</v>
      </c>
      <c r="P155" s="171">
        <f t="shared" si="22"/>
        <v>0</v>
      </c>
    </row>
    <row r="156" spans="2:16">
      <c r="C156" s="156" t="s">
        <v>75</v>
      </c>
      <c r="D156" s="112"/>
      <c r="E156" s="112">
        <f>SUM(E100:E155)</f>
        <v>0</v>
      </c>
      <c r="F156" s="112"/>
      <c r="G156" s="112"/>
      <c r="H156" s="112">
        <f>SUM(H100:H155)</f>
        <v>0</v>
      </c>
      <c r="I156" s="112">
        <f>SUM(I100:I155)</f>
        <v>0</v>
      </c>
      <c r="J156" s="112">
        <f>SUM(J100:J155)</f>
        <v>0</v>
      </c>
      <c r="K156" s="112"/>
      <c r="L156" s="112"/>
      <c r="M156" s="112"/>
      <c r="N156" s="112"/>
      <c r="O156" s="112"/>
      <c r="P156" s="1"/>
    </row>
    <row r="157" spans="2:16">
      <c r="C157" t="s">
        <v>90</v>
      </c>
      <c r="D157" s="2"/>
      <c r="E157" s="1"/>
      <c r="F157" s="1"/>
      <c r="G157" s="1"/>
      <c r="H157" s="1"/>
      <c r="I157" s="3"/>
      <c r="J157" s="3"/>
      <c r="K157" s="112"/>
      <c r="L157" s="3"/>
      <c r="M157" s="3"/>
      <c r="N157" s="3"/>
      <c r="O157" s="3"/>
      <c r="P157" s="1"/>
    </row>
    <row r="158" spans="2:16">
      <c r="C158" s="215"/>
      <c r="D158" s="2"/>
      <c r="E158" s="1"/>
      <c r="F158" s="1"/>
      <c r="G158" s="1"/>
      <c r="H158" s="1"/>
      <c r="I158" s="3"/>
      <c r="J158" s="3"/>
      <c r="K158" s="112"/>
      <c r="L158" s="3"/>
      <c r="M158" s="3"/>
      <c r="N158" s="3"/>
      <c r="O158" s="3"/>
      <c r="P158" s="1"/>
    </row>
    <row r="159" spans="2:16">
      <c r="C159" s="245" t="s">
        <v>130</v>
      </c>
      <c r="D159" s="2"/>
      <c r="E159" s="1"/>
      <c r="F159" s="1"/>
      <c r="G159" s="1"/>
      <c r="H159" s="1"/>
      <c r="I159" s="3"/>
      <c r="J159" s="3"/>
      <c r="K159" s="112"/>
      <c r="L159" s="3"/>
      <c r="M159" s="3"/>
      <c r="N159" s="3"/>
      <c r="O159" s="3"/>
      <c r="P159" s="1"/>
    </row>
    <row r="160" spans="2:16">
      <c r="C160" s="124" t="s">
        <v>76</v>
      </c>
      <c r="D160" s="156"/>
      <c r="E160" s="156"/>
      <c r="F160" s="156"/>
      <c r="G160" s="156"/>
      <c r="H160" s="112"/>
      <c r="I160" s="112"/>
      <c r="J160" s="173"/>
      <c r="K160" s="173"/>
      <c r="L160" s="173"/>
      <c r="M160" s="173"/>
      <c r="N160" s="173"/>
      <c r="O160" s="173"/>
      <c r="P160" s="1"/>
    </row>
    <row r="161" spans="3:16">
      <c r="C161" s="216" t="s">
        <v>77</v>
      </c>
      <c r="D161" s="156"/>
      <c r="E161" s="156"/>
      <c r="F161" s="156"/>
      <c r="G161" s="156"/>
      <c r="H161" s="112"/>
      <c r="I161" s="112"/>
      <c r="J161" s="173"/>
      <c r="K161" s="173"/>
      <c r="L161" s="173"/>
      <c r="M161" s="173"/>
      <c r="N161" s="173"/>
      <c r="O161" s="173"/>
      <c r="P161" s="1"/>
    </row>
    <row r="162" spans="3:16">
      <c r="C162" s="216"/>
      <c r="D162" s="156"/>
      <c r="E162" s="156"/>
      <c r="F162" s="156"/>
      <c r="G162" s="156"/>
      <c r="H162" s="112"/>
      <c r="I162" s="112"/>
      <c r="J162" s="173"/>
      <c r="K162" s="173"/>
      <c r="L162" s="173"/>
      <c r="M162" s="173"/>
      <c r="N162" s="173"/>
      <c r="O162" s="173"/>
      <c r="P162" s="1"/>
    </row>
    <row r="163" spans="3:16" ht="18">
      <c r="C163" s="216"/>
      <c r="D163" s="156"/>
      <c r="E163" s="156"/>
      <c r="F163" s="156"/>
      <c r="G163" s="156"/>
      <c r="H163" s="112"/>
      <c r="I163" s="112"/>
      <c r="J163" s="173"/>
      <c r="K163" s="173"/>
      <c r="L163" s="173"/>
      <c r="M163" s="173"/>
      <c r="N163" s="173"/>
      <c r="P163" s="242"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63"/>
  <sheetViews>
    <sheetView topLeftCell="D76" zoomScaleNormal="100" workbookViewId="0">
      <selection activeCell="M88" sqref="M88"/>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240" t="s">
        <v>189</v>
      </c>
      <c r="B1" s="1"/>
      <c r="C1" s="23"/>
      <c r="D1" s="2"/>
      <c r="E1" s="1"/>
      <c r="F1" s="100"/>
      <c r="G1" s="1"/>
      <c r="H1" s="3"/>
      <c r="J1" s="7"/>
      <c r="K1" s="110"/>
      <c r="L1" s="110"/>
      <c r="M1" s="110"/>
      <c r="P1" s="246" t="str">
        <f ca="1">"OKT Project "&amp;RIGHT(MID(CELL("filename",$A$1),FIND("]",CELL("filename",$A$1))+1,256),2)&amp;" of "&amp;COUNT('OKT.001:OKT.xyz - blank'!$P$3)-1</f>
        <v>OKT Project nk of 19</v>
      </c>
    </row>
    <row r="2" spans="1:16" ht="18">
      <c r="B2" s="1"/>
      <c r="C2" s="1"/>
      <c r="D2" s="2"/>
      <c r="E2" s="1"/>
      <c r="F2" s="1"/>
      <c r="G2" s="1"/>
      <c r="H2" s="3"/>
      <c r="I2" s="1"/>
      <c r="J2" s="4"/>
      <c r="K2" s="1"/>
      <c r="L2" s="1"/>
      <c r="M2" s="1"/>
      <c r="N2" s="1"/>
      <c r="P2" s="247" t="s">
        <v>131</v>
      </c>
    </row>
    <row r="3" spans="1:16" ht="18.75">
      <c r="B3" s="5" t="s">
        <v>42</v>
      </c>
      <c r="C3" s="69" t="s">
        <v>43</v>
      </c>
      <c r="D3" s="2"/>
      <c r="E3" s="1"/>
      <c r="F3" s="1"/>
      <c r="G3" s="1"/>
      <c r="H3" s="3"/>
      <c r="I3" s="3"/>
      <c r="J3" s="112"/>
      <c r="K3" s="3"/>
      <c r="L3" s="3"/>
      <c r="M3" s="3"/>
      <c r="N3" s="3"/>
      <c r="O3" s="1"/>
      <c r="P3" s="237">
        <v>1</v>
      </c>
    </row>
    <row r="4" spans="1:16" ht="15.75" thickBot="1">
      <c r="C4" s="68"/>
      <c r="D4" s="2"/>
      <c r="E4" s="1"/>
      <c r="F4" s="1"/>
      <c r="G4" s="1"/>
      <c r="H4" s="3"/>
      <c r="I4" s="3"/>
      <c r="J4" s="112"/>
      <c r="K4" s="3"/>
      <c r="L4" s="3"/>
      <c r="M4" s="3"/>
      <c r="N4" s="3"/>
      <c r="O4" s="1"/>
      <c r="P4" s="1"/>
    </row>
    <row r="5" spans="1:16" ht="15">
      <c r="C5" s="113" t="s">
        <v>44</v>
      </c>
      <c r="D5" s="2"/>
      <c r="E5" s="1"/>
      <c r="F5" s="1"/>
      <c r="G5" s="114"/>
      <c r="H5" s="1" t="s">
        <v>45</v>
      </c>
      <c r="I5" s="1"/>
      <c r="J5" s="4"/>
      <c r="K5" s="115" t="s">
        <v>242</v>
      </c>
      <c r="L5" s="116"/>
      <c r="M5" s="117"/>
      <c r="N5" s="118">
        <f>VLOOKUP(I10,C17:I73,5)</f>
        <v>0</v>
      </c>
      <c r="P5" s="1"/>
    </row>
    <row r="6" spans="1:16" ht="15.75">
      <c r="C6" s="8"/>
      <c r="D6" s="2"/>
      <c r="E6" s="1"/>
      <c r="F6" s="1"/>
      <c r="G6" s="1"/>
      <c r="H6" s="119"/>
      <c r="I6" s="119"/>
      <c r="J6" s="120"/>
      <c r="K6" s="121" t="s">
        <v>243</v>
      </c>
      <c r="L6" s="122"/>
      <c r="M6" s="4"/>
      <c r="N6" s="123">
        <f>VLOOKUP(I10,C17:I73,6)</f>
        <v>0</v>
      </c>
      <c r="O6" s="1"/>
      <c r="P6" s="1"/>
    </row>
    <row r="7" spans="1:16" ht="13.5" thickBot="1">
      <c r="C7" s="124" t="s">
        <v>46</v>
      </c>
      <c r="D7" s="222" t="s">
        <v>245</v>
      </c>
      <c r="E7" s="1"/>
      <c r="F7" s="1"/>
      <c r="G7" s="1"/>
      <c r="H7" s="3"/>
      <c r="I7" s="3"/>
      <c r="J7" s="112"/>
      <c r="K7" s="125" t="s">
        <v>47</v>
      </c>
      <c r="L7" s="126"/>
      <c r="M7" s="126"/>
      <c r="N7" s="127">
        <f>+N6-N5</f>
        <v>0</v>
      </c>
      <c r="O7" s="1"/>
      <c r="P7" s="1"/>
    </row>
    <row r="8" spans="1:16" ht="13.5" thickBot="1">
      <c r="C8" s="128"/>
      <c r="D8" s="244" t="str">
        <f>IF(D10&lt;100000,"DOES NOT MEET SPP $100,000 MINIMUM INVESTMENT FOR REGIONAL BPU SHARING.","")</f>
        <v>DOES NOT MEET SPP $100,000 MINIMUM INVESTMENT FOR REGIONAL BPU SHARING.</v>
      </c>
      <c r="E8" s="129"/>
      <c r="F8" s="129"/>
      <c r="G8" s="129"/>
      <c r="H8" s="129"/>
      <c r="I8" s="129"/>
      <c r="J8" s="102"/>
      <c r="K8" s="129"/>
      <c r="L8" s="129"/>
      <c r="M8" s="129"/>
      <c r="N8" s="129"/>
      <c r="O8" s="102"/>
      <c r="P8" s="23"/>
    </row>
    <row r="9" spans="1:16" ht="13.5" thickBot="1">
      <c r="C9" s="130" t="s">
        <v>48</v>
      </c>
      <c r="D9" s="224" t="s">
        <v>78</v>
      </c>
      <c r="E9" s="131"/>
      <c r="F9" s="131"/>
      <c r="G9" s="131"/>
      <c r="H9" s="131"/>
      <c r="I9" s="132"/>
      <c r="J9" s="133"/>
      <c r="O9" s="134"/>
      <c r="P9" s="4"/>
    </row>
    <row r="10" spans="1:16">
      <c r="C10" s="135" t="s">
        <v>49</v>
      </c>
      <c r="D10" s="136">
        <v>0</v>
      </c>
      <c r="E10" s="63" t="s">
        <v>50</v>
      </c>
      <c r="F10" s="134"/>
      <c r="G10" s="137"/>
      <c r="H10" s="137"/>
      <c r="I10" s="138">
        <f>+OKT.WS.F.BPU.ATRR.Projected!R100</f>
        <v>2018</v>
      </c>
      <c r="J10" s="133"/>
      <c r="K10" s="112" t="s">
        <v>51</v>
      </c>
      <c r="O10" s="4"/>
      <c r="P10" s="4"/>
    </row>
    <row r="11" spans="1:16">
      <c r="C11" s="139" t="s">
        <v>52</v>
      </c>
      <c r="D11" s="140">
        <v>2018</v>
      </c>
      <c r="E11" s="139" t="s">
        <v>53</v>
      </c>
      <c r="F11" s="137"/>
      <c r="G11" s="7"/>
      <c r="H11" s="7"/>
      <c r="I11" s="141">
        <f>IF(G5="",0,OKT.WS.F.BPU.ATRR.Projected!F$13)</f>
        <v>0</v>
      </c>
      <c r="J11" s="142"/>
      <c r="K11" t="str">
        <f>"          INPUT PROJECTED ARR (WITH &amp; WITHOUT INCENTIVES) FROM EACH PRIOR YEAR"</f>
        <v xml:space="preserve">          INPUT PROJECTED ARR (WITH &amp; WITHOUT INCENTIVES) FROM EACH PRIOR YEAR</v>
      </c>
      <c r="O11" s="4"/>
      <c r="P11" s="4"/>
    </row>
    <row r="12" spans="1:16">
      <c r="C12" s="139" t="s">
        <v>54</v>
      </c>
      <c r="D12" s="136">
        <v>4</v>
      </c>
      <c r="E12" s="139" t="s">
        <v>55</v>
      </c>
      <c r="F12" s="137"/>
      <c r="G12" s="7"/>
      <c r="H12" s="7"/>
      <c r="I12" s="143">
        <f>OKT.WS.F.BPU.ATRR.Projected!$F$78</f>
        <v>0.11749102697326873</v>
      </c>
      <c r="J12" s="144"/>
      <c r="K12" t="s">
        <v>56</v>
      </c>
      <c r="O12" s="4"/>
      <c r="P12" s="4"/>
    </row>
    <row r="13" spans="1:16">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row>
    <row r="14" spans="1:16" ht="13.5" thickBot="1">
      <c r="C14" s="139" t="s">
        <v>60</v>
      </c>
      <c r="D14" s="140" t="s">
        <v>61</v>
      </c>
      <c r="E14" s="4" t="s">
        <v>62</v>
      </c>
      <c r="F14" s="137"/>
      <c r="G14" s="7"/>
      <c r="H14" s="7"/>
      <c r="I14" s="145">
        <f>IF(D10=0,0,D10/D13)</f>
        <v>0</v>
      </c>
      <c r="J14" s="112"/>
      <c r="K14" s="112"/>
      <c r="L14" s="112"/>
      <c r="M14" s="112"/>
      <c r="N14" s="112"/>
      <c r="O14" s="4"/>
      <c r="P14" s="4"/>
    </row>
    <row r="15" spans="1:16"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row>
    <row r="16" spans="1:16"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row>
    <row r="17" spans="2:16">
      <c r="B17" t="str">
        <f t="shared" ref="B17:B71" si="0">IF(D17=F16,"","IU")</f>
        <v>IU</v>
      </c>
      <c r="C17" s="155">
        <f>IF(D11= "","-",D11)</f>
        <v>2018</v>
      </c>
      <c r="D17" s="156">
        <v>0</v>
      </c>
      <c r="E17" s="157">
        <f>IF(D10&gt;=100000,I$14/12*(12-D12),0)</f>
        <v>0</v>
      </c>
      <c r="F17" s="161">
        <f>IF(D11=C17,+D10-E17,+D17-E17)</f>
        <v>0</v>
      </c>
      <c r="G17" s="157">
        <f>(D17+F17)/2*I$12+E17</f>
        <v>0</v>
      </c>
      <c r="H17" s="145">
        <f>+(D17+F17)/2*I$13+E17</f>
        <v>0</v>
      </c>
      <c r="I17" s="158">
        <f t="shared" ref="I17:I48" si="1">H17-G17</f>
        <v>0</v>
      </c>
      <c r="J17" s="158"/>
      <c r="K17" s="318"/>
      <c r="L17" s="159">
        <f t="shared" ref="L17:L48" si="2">IF(K17&lt;&gt;0,+G17-K17,0)</f>
        <v>0</v>
      </c>
      <c r="M17" s="318"/>
      <c r="N17" s="159">
        <f t="shared" ref="N17:N48" si="3">IF(M17&lt;&gt;0,+H17-M17,0)</f>
        <v>0</v>
      </c>
      <c r="O17" s="160">
        <f t="shared" ref="O17:O48" si="4">+N17-L17</f>
        <v>0</v>
      </c>
      <c r="P17" s="4"/>
    </row>
    <row r="18" spans="2:16">
      <c r="B18" t="str">
        <f t="shared" si="0"/>
        <v/>
      </c>
      <c r="C18" s="155">
        <f>IF(D11="","-",+C17+1)</f>
        <v>2019</v>
      </c>
      <c r="D18" s="164">
        <f>IF(F17+SUM(E$17:E17)=D$10,F17,D$10-SUM(E$17:E17))</f>
        <v>0</v>
      </c>
      <c r="E18" s="162">
        <f t="shared" ref="E18:E49" si="5">IF(+I$14&lt;F17,I$14,D18)</f>
        <v>0</v>
      </c>
      <c r="F18" s="161">
        <f t="shared" ref="F18:F48" si="6">+D18-E18</f>
        <v>0</v>
      </c>
      <c r="G18" s="163">
        <f t="shared" ref="G18:G71" si="7">(D18+F18)/2*I$12+E18</f>
        <v>0</v>
      </c>
      <c r="H18" s="145">
        <f t="shared" ref="H18:H71" si="8">+(D18+F18)/2*I$13+E18</f>
        <v>0</v>
      </c>
      <c r="I18" s="158">
        <f t="shared" si="1"/>
        <v>0</v>
      </c>
      <c r="J18" s="158"/>
      <c r="K18" s="316"/>
      <c r="L18" s="160">
        <f t="shared" si="2"/>
        <v>0</v>
      </c>
      <c r="M18" s="316"/>
      <c r="N18" s="160">
        <f t="shared" si="3"/>
        <v>0</v>
      </c>
      <c r="O18" s="160">
        <f t="shared" si="4"/>
        <v>0</v>
      </c>
      <c r="P18" s="4"/>
    </row>
    <row r="19" spans="2:16">
      <c r="B19" t="str">
        <f t="shared" si="0"/>
        <v/>
      </c>
      <c r="C19" s="155">
        <f>IF(D11="","-",+C18+1)</f>
        <v>2020</v>
      </c>
      <c r="D19" s="164">
        <f>IF(F18+SUM(E$17:E18)=D$10,F18,D$10-SUM(E$17:E18))</f>
        <v>0</v>
      </c>
      <c r="E19" s="162">
        <f t="shared" si="5"/>
        <v>0</v>
      </c>
      <c r="F19" s="161">
        <f t="shared" si="6"/>
        <v>0</v>
      </c>
      <c r="G19" s="163">
        <f t="shared" si="7"/>
        <v>0</v>
      </c>
      <c r="H19" s="145">
        <f t="shared" si="8"/>
        <v>0</v>
      </c>
      <c r="I19" s="158">
        <f t="shared" si="1"/>
        <v>0</v>
      </c>
      <c r="J19" s="158"/>
      <c r="K19" s="316"/>
      <c r="L19" s="160">
        <f t="shared" si="2"/>
        <v>0</v>
      </c>
      <c r="M19" s="316"/>
      <c r="N19" s="160">
        <f t="shared" si="3"/>
        <v>0</v>
      </c>
      <c r="O19" s="160">
        <f t="shared" si="4"/>
        <v>0</v>
      </c>
      <c r="P19" s="4"/>
    </row>
    <row r="20" spans="2:16">
      <c r="B20" t="str">
        <f t="shared" si="0"/>
        <v/>
      </c>
      <c r="C20" s="155">
        <f>IF(D11="","-",+C19+1)</f>
        <v>2021</v>
      </c>
      <c r="D20" s="164">
        <f>IF(F19+SUM(E$17:E19)=D$10,F19,D$10-SUM(E$17:E19))</f>
        <v>0</v>
      </c>
      <c r="E20" s="162">
        <f t="shared" si="5"/>
        <v>0</v>
      </c>
      <c r="F20" s="161">
        <f t="shared" si="6"/>
        <v>0</v>
      </c>
      <c r="G20" s="163">
        <f t="shared" si="7"/>
        <v>0</v>
      </c>
      <c r="H20" s="145">
        <f t="shared" si="8"/>
        <v>0</v>
      </c>
      <c r="I20" s="158">
        <f t="shared" si="1"/>
        <v>0</v>
      </c>
      <c r="J20" s="158"/>
      <c r="K20" s="316"/>
      <c r="L20" s="160">
        <f t="shared" si="2"/>
        <v>0</v>
      </c>
      <c r="M20" s="316"/>
      <c r="N20" s="160">
        <f t="shared" si="3"/>
        <v>0</v>
      </c>
      <c r="O20" s="160">
        <f t="shared" si="4"/>
        <v>0</v>
      </c>
      <c r="P20" s="4"/>
    </row>
    <row r="21" spans="2:16">
      <c r="B21" t="str">
        <f t="shared" si="0"/>
        <v/>
      </c>
      <c r="C21" s="155">
        <f>IF(D11="","-",+C20+1)</f>
        <v>2022</v>
      </c>
      <c r="D21" s="164">
        <f>IF(F20+SUM(E$17:E20)=D$10,F20,D$10-SUM(E$17:E20))</f>
        <v>0</v>
      </c>
      <c r="E21" s="162">
        <f t="shared" si="5"/>
        <v>0</v>
      </c>
      <c r="F21" s="161">
        <f t="shared" si="6"/>
        <v>0</v>
      </c>
      <c r="G21" s="163">
        <f t="shared" si="7"/>
        <v>0</v>
      </c>
      <c r="H21" s="145">
        <f t="shared" si="8"/>
        <v>0</v>
      </c>
      <c r="I21" s="158">
        <f t="shared" si="1"/>
        <v>0</v>
      </c>
      <c r="J21" s="158"/>
      <c r="K21" s="316"/>
      <c r="L21" s="160">
        <f t="shared" si="2"/>
        <v>0</v>
      </c>
      <c r="M21" s="316"/>
      <c r="N21" s="160">
        <f t="shared" si="3"/>
        <v>0</v>
      </c>
      <c r="O21" s="160">
        <f t="shared" si="4"/>
        <v>0</v>
      </c>
      <c r="P21" s="4"/>
    </row>
    <row r="22" spans="2:16">
      <c r="B22" t="str">
        <f t="shared" si="0"/>
        <v/>
      </c>
      <c r="C22" s="155">
        <f>IF(D11="","-",+C21+1)</f>
        <v>2023</v>
      </c>
      <c r="D22" s="164">
        <f>IF(F21+SUM(E$17:E21)=D$10,F21,D$10-SUM(E$17:E21))</f>
        <v>0</v>
      </c>
      <c r="E22" s="162">
        <f t="shared" si="5"/>
        <v>0</v>
      </c>
      <c r="F22" s="161">
        <f t="shared" si="6"/>
        <v>0</v>
      </c>
      <c r="G22" s="163">
        <f t="shared" si="7"/>
        <v>0</v>
      </c>
      <c r="H22" s="145">
        <f t="shared" si="8"/>
        <v>0</v>
      </c>
      <c r="I22" s="158">
        <f t="shared" si="1"/>
        <v>0</v>
      </c>
      <c r="J22" s="158"/>
      <c r="K22" s="316"/>
      <c r="L22" s="160">
        <f t="shared" si="2"/>
        <v>0</v>
      </c>
      <c r="M22" s="316"/>
      <c r="N22" s="160">
        <f t="shared" si="3"/>
        <v>0</v>
      </c>
      <c r="O22" s="160">
        <f t="shared" si="4"/>
        <v>0</v>
      </c>
      <c r="P22" s="4"/>
    </row>
    <row r="23" spans="2:16">
      <c r="B23" t="str">
        <f t="shared" si="0"/>
        <v/>
      </c>
      <c r="C23" s="155">
        <f>IF(D11="","-",+C22+1)</f>
        <v>2024</v>
      </c>
      <c r="D23" s="164">
        <f>IF(F22+SUM(E$17:E22)=D$10,F22,D$10-SUM(E$17:E22))</f>
        <v>0</v>
      </c>
      <c r="E23" s="162">
        <f t="shared" si="5"/>
        <v>0</v>
      </c>
      <c r="F23" s="161">
        <f t="shared" si="6"/>
        <v>0</v>
      </c>
      <c r="G23" s="163">
        <f t="shared" si="7"/>
        <v>0</v>
      </c>
      <c r="H23" s="145">
        <f t="shared" si="8"/>
        <v>0</v>
      </c>
      <c r="I23" s="158">
        <f t="shared" si="1"/>
        <v>0</v>
      </c>
      <c r="J23" s="158"/>
      <c r="K23" s="316"/>
      <c r="L23" s="160">
        <f t="shared" si="2"/>
        <v>0</v>
      </c>
      <c r="M23" s="316"/>
      <c r="N23" s="160">
        <f t="shared" si="3"/>
        <v>0</v>
      </c>
      <c r="O23" s="160">
        <f t="shared" si="4"/>
        <v>0</v>
      </c>
      <c r="P23" s="4"/>
    </row>
    <row r="24" spans="2:16">
      <c r="B24" t="str">
        <f t="shared" si="0"/>
        <v/>
      </c>
      <c r="C24" s="155">
        <f>IF(D11="","-",+C23+1)</f>
        <v>2025</v>
      </c>
      <c r="D24" s="164">
        <f>IF(F23+SUM(E$17:E23)=D$10,F23,D$10-SUM(E$17:E23))</f>
        <v>0</v>
      </c>
      <c r="E24" s="162">
        <f t="shared" si="5"/>
        <v>0</v>
      </c>
      <c r="F24" s="161">
        <f t="shared" si="6"/>
        <v>0</v>
      </c>
      <c r="G24" s="163">
        <f t="shared" si="7"/>
        <v>0</v>
      </c>
      <c r="H24" s="145">
        <f t="shared" si="8"/>
        <v>0</v>
      </c>
      <c r="I24" s="158">
        <f t="shared" si="1"/>
        <v>0</v>
      </c>
      <c r="J24" s="158"/>
      <c r="K24" s="316"/>
      <c r="L24" s="160">
        <f t="shared" si="2"/>
        <v>0</v>
      </c>
      <c r="M24" s="316"/>
      <c r="N24" s="160">
        <f t="shared" si="3"/>
        <v>0</v>
      </c>
      <c r="O24" s="160">
        <f t="shared" si="4"/>
        <v>0</v>
      </c>
      <c r="P24" s="4"/>
    </row>
    <row r="25" spans="2:16">
      <c r="B25" t="str">
        <f t="shared" si="0"/>
        <v/>
      </c>
      <c r="C25" s="155">
        <f>IF(D11="","-",+C24+1)</f>
        <v>2026</v>
      </c>
      <c r="D25" s="164">
        <f>IF(F24+SUM(E$17:E24)=D$10,F24,D$10-SUM(E$17:E24))</f>
        <v>0</v>
      </c>
      <c r="E25" s="162">
        <f t="shared" si="5"/>
        <v>0</v>
      </c>
      <c r="F25" s="161">
        <f t="shared" si="6"/>
        <v>0</v>
      </c>
      <c r="G25" s="163">
        <f t="shared" si="7"/>
        <v>0</v>
      </c>
      <c r="H25" s="145">
        <f t="shared" si="8"/>
        <v>0</v>
      </c>
      <c r="I25" s="158">
        <f t="shared" si="1"/>
        <v>0</v>
      </c>
      <c r="J25" s="158"/>
      <c r="K25" s="316"/>
      <c r="L25" s="160">
        <f t="shared" si="2"/>
        <v>0</v>
      </c>
      <c r="M25" s="316"/>
      <c r="N25" s="160">
        <f t="shared" si="3"/>
        <v>0</v>
      </c>
      <c r="O25" s="160">
        <f t="shared" si="4"/>
        <v>0</v>
      </c>
      <c r="P25" s="4"/>
    </row>
    <row r="26" spans="2:16">
      <c r="B26" t="str">
        <f t="shared" si="0"/>
        <v/>
      </c>
      <c r="C26" s="155">
        <f>IF(D11="","-",+C25+1)</f>
        <v>2027</v>
      </c>
      <c r="D26" s="164">
        <f>IF(F25+SUM(E$17:E25)=D$10,F25,D$10-SUM(E$17:E25))</f>
        <v>0</v>
      </c>
      <c r="E26" s="162">
        <f t="shared" si="5"/>
        <v>0</v>
      </c>
      <c r="F26" s="161">
        <f t="shared" si="6"/>
        <v>0</v>
      </c>
      <c r="G26" s="163">
        <f t="shared" si="7"/>
        <v>0</v>
      </c>
      <c r="H26" s="145">
        <f t="shared" si="8"/>
        <v>0</v>
      </c>
      <c r="I26" s="158">
        <f t="shared" si="1"/>
        <v>0</v>
      </c>
      <c r="J26" s="158"/>
      <c r="K26" s="316"/>
      <c r="L26" s="160">
        <f t="shared" si="2"/>
        <v>0</v>
      </c>
      <c r="M26" s="316"/>
      <c r="N26" s="160">
        <f t="shared" si="3"/>
        <v>0</v>
      </c>
      <c r="O26" s="160">
        <f t="shared" si="4"/>
        <v>0</v>
      </c>
      <c r="P26" s="4"/>
    </row>
    <row r="27" spans="2:16">
      <c r="B27" t="str">
        <f t="shared" si="0"/>
        <v/>
      </c>
      <c r="C27" s="155">
        <f>IF(D11="","-",+C26+1)</f>
        <v>2028</v>
      </c>
      <c r="D27" s="164">
        <f>IF(F26+SUM(E$17:E26)=D$10,F26,D$10-SUM(E$17:E26))</f>
        <v>0</v>
      </c>
      <c r="E27" s="162">
        <f t="shared" si="5"/>
        <v>0</v>
      </c>
      <c r="F27" s="161">
        <f t="shared" si="6"/>
        <v>0</v>
      </c>
      <c r="G27" s="163">
        <f t="shared" si="7"/>
        <v>0</v>
      </c>
      <c r="H27" s="145">
        <f t="shared" si="8"/>
        <v>0</v>
      </c>
      <c r="I27" s="158">
        <f t="shared" si="1"/>
        <v>0</v>
      </c>
      <c r="J27" s="158"/>
      <c r="K27" s="316"/>
      <c r="L27" s="160">
        <f t="shared" si="2"/>
        <v>0</v>
      </c>
      <c r="M27" s="316"/>
      <c r="N27" s="160">
        <f t="shared" si="3"/>
        <v>0</v>
      </c>
      <c r="O27" s="160">
        <f t="shared" si="4"/>
        <v>0</v>
      </c>
      <c r="P27" s="4"/>
    </row>
    <row r="28" spans="2:16">
      <c r="B28" t="str">
        <f t="shared" si="0"/>
        <v/>
      </c>
      <c r="C28" s="155">
        <f>IF(D11="","-",+C27+1)</f>
        <v>2029</v>
      </c>
      <c r="D28" s="164">
        <f>IF(F27+SUM(E$17:E27)=D$10,F27,D$10-SUM(E$17:E27))</f>
        <v>0</v>
      </c>
      <c r="E28" s="162">
        <f t="shared" si="5"/>
        <v>0</v>
      </c>
      <c r="F28" s="161">
        <f t="shared" si="6"/>
        <v>0</v>
      </c>
      <c r="G28" s="163">
        <f t="shared" si="7"/>
        <v>0</v>
      </c>
      <c r="H28" s="145">
        <f t="shared" si="8"/>
        <v>0</v>
      </c>
      <c r="I28" s="158">
        <f t="shared" si="1"/>
        <v>0</v>
      </c>
      <c r="J28" s="158"/>
      <c r="K28" s="316"/>
      <c r="L28" s="160">
        <f t="shared" si="2"/>
        <v>0</v>
      </c>
      <c r="M28" s="316"/>
      <c r="N28" s="160">
        <f t="shared" si="3"/>
        <v>0</v>
      </c>
      <c r="O28" s="160">
        <f t="shared" si="4"/>
        <v>0</v>
      </c>
      <c r="P28" s="4"/>
    </row>
    <row r="29" spans="2:16">
      <c r="B29" t="str">
        <f t="shared" si="0"/>
        <v/>
      </c>
      <c r="C29" s="155">
        <f>IF(D11="","-",+C28+1)</f>
        <v>2030</v>
      </c>
      <c r="D29" s="164">
        <f>IF(F28+SUM(E$17:E28)=D$10,F28,D$10-SUM(E$17:E28))</f>
        <v>0</v>
      </c>
      <c r="E29" s="162">
        <f t="shared" si="5"/>
        <v>0</v>
      </c>
      <c r="F29" s="161">
        <f t="shared" si="6"/>
        <v>0</v>
      </c>
      <c r="G29" s="163">
        <f t="shared" si="7"/>
        <v>0</v>
      </c>
      <c r="H29" s="145">
        <f t="shared" si="8"/>
        <v>0</v>
      </c>
      <c r="I29" s="158">
        <f t="shared" si="1"/>
        <v>0</v>
      </c>
      <c r="J29" s="158"/>
      <c r="K29" s="316"/>
      <c r="L29" s="160">
        <f t="shared" si="2"/>
        <v>0</v>
      </c>
      <c r="M29" s="316"/>
      <c r="N29" s="160">
        <f t="shared" si="3"/>
        <v>0</v>
      </c>
      <c r="O29" s="160">
        <f t="shared" si="4"/>
        <v>0</v>
      </c>
      <c r="P29" s="4"/>
    </row>
    <row r="30" spans="2:16">
      <c r="B30" t="str">
        <f t="shared" si="0"/>
        <v/>
      </c>
      <c r="C30" s="155">
        <f>IF(D11="","-",+C29+1)</f>
        <v>2031</v>
      </c>
      <c r="D30" s="164">
        <f>IF(F29+SUM(E$17:E29)=D$10,F29,D$10-SUM(E$17:E29))</f>
        <v>0</v>
      </c>
      <c r="E30" s="162">
        <f t="shared" si="5"/>
        <v>0</v>
      </c>
      <c r="F30" s="161">
        <f t="shared" si="6"/>
        <v>0</v>
      </c>
      <c r="G30" s="163">
        <f t="shared" si="7"/>
        <v>0</v>
      </c>
      <c r="H30" s="145">
        <f t="shared" si="8"/>
        <v>0</v>
      </c>
      <c r="I30" s="158">
        <f t="shared" si="1"/>
        <v>0</v>
      </c>
      <c r="J30" s="158"/>
      <c r="K30" s="316"/>
      <c r="L30" s="160">
        <f t="shared" si="2"/>
        <v>0</v>
      </c>
      <c r="M30" s="316"/>
      <c r="N30" s="160">
        <f t="shared" si="3"/>
        <v>0</v>
      </c>
      <c r="O30" s="160">
        <f t="shared" si="4"/>
        <v>0</v>
      </c>
      <c r="P30" s="4"/>
    </row>
    <row r="31" spans="2:16">
      <c r="B31" t="str">
        <f t="shared" si="0"/>
        <v/>
      </c>
      <c r="C31" s="155">
        <f>IF(D11="","-",+C30+1)</f>
        <v>2032</v>
      </c>
      <c r="D31" s="164">
        <f>IF(F30+SUM(E$17:E30)=D$10,F30,D$10-SUM(E$17:E30))</f>
        <v>0</v>
      </c>
      <c r="E31" s="162">
        <f t="shared" si="5"/>
        <v>0</v>
      </c>
      <c r="F31" s="161">
        <f t="shared" si="6"/>
        <v>0</v>
      </c>
      <c r="G31" s="163">
        <f t="shared" si="7"/>
        <v>0</v>
      </c>
      <c r="H31" s="145">
        <f t="shared" si="8"/>
        <v>0</v>
      </c>
      <c r="I31" s="158">
        <f t="shared" si="1"/>
        <v>0</v>
      </c>
      <c r="J31" s="158"/>
      <c r="K31" s="316"/>
      <c r="L31" s="160">
        <f t="shared" si="2"/>
        <v>0</v>
      </c>
      <c r="M31" s="316"/>
      <c r="N31" s="160">
        <f t="shared" si="3"/>
        <v>0</v>
      </c>
      <c r="O31" s="160">
        <f t="shared" si="4"/>
        <v>0</v>
      </c>
      <c r="P31" s="4"/>
    </row>
    <row r="32" spans="2:16">
      <c r="B32" t="str">
        <f t="shared" si="0"/>
        <v/>
      </c>
      <c r="C32" s="155">
        <f>IF(D11="","-",+C31+1)</f>
        <v>2033</v>
      </c>
      <c r="D32" s="164">
        <f>IF(F31+SUM(E$17:E31)=D$10,F31,D$10-SUM(E$17:E31))</f>
        <v>0</v>
      </c>
      <c r="E32" s="162">
        <f t="shared" si="5"/>
        <v>0</v>
      </c>
      <c r="F32" s="161">
        <f t="shared" si="6"/>
        <v>0</v>
      </c>
      <c r="G32" s="163">
        <f t="shared" si="7"/>
        <v>0</v>
      </c>
      <c r="H32" s="145">
        <f t="shared" si="8"/>
        <v>0</v>
      </c>
      <c r="I32" s="158">
        <f t="shared" si="1"/>
        <v>0</v>
      </c>
      <c r="J32" s="158"/>
      <c r="K32" s="316"/>
      <c r="L32" s="160">
        <f t="shared" si="2"/>
        <v>0</v>
      </c>
      <c r="M32" s="316"/>
      <c r="N32" s="160">
        <f t="shared" si="3"/>
        <v>0</v>
      </c>
      <c r="O32" s="160">
        <f t="shared" si="4"/>
        <v>0</v>
      </c>
      <c r="P32" s="4"/>
    </row>
    <row r="33" spans="2:16">
      <c r="B33" t="str">
        <f t="shared" si="0"/>
        <v/>
      </c>
      <c r="C33" s="155">
        <f>IF(D11="","-",+C32+1)</f>
        <v>2034</v>
      </c>
      <c r="D33" s="164">
        <f>IF(F32+SUM(E$17:E32)=D$10,F32,D$10-SUM(E$17:E32))</f>
        <v>0</v>
      </c>
      <c r="E33" s="162">
        <f t="shared" si="5"/>
        <v>0</v>
      </c>
      <c r="F33" s="161">
        <f t="shared" si="6"/>
        <v>0</v>
      </c>
      <c r="G33" s="163">
        <f t="shared" si="7"/>
        <v>0</v>
      </c>
      <c r="H33" s="145">
        <f t="shared" si="8"/>
        <v>0</v>
      </c>
      <c r="I33" s="158">
        <f t="shared" si="1"/>
        <v>0</v>
      </c>
      <c r="J33" s="158"/>
      <c r="K33" s="316"/>
      <c r="L33" s="160">
        <f t="shared" si="2"/>
        <v>0</v>
      </c>
      <c r="M33" s="316"/>
      <c r="N33" s="160">
        <f t="shared" si="3"/>
        <v>0</v>
      </c>
      <c r="O33" s="160">
        <f t="shared" si="4"/>
        <v>0</v>
      </c>
      <c r="P33" s="4"/>
    </row>
    <row r="34" spans="2:16">
      <c r="B34" t="str">
        <f t="shared" si="0"/>
        <v/>
      </c>
      <c r="C34" s="155">
        <f>IF(D11="","-",+C33+1)</f>
        <v>2035</v>
      </c>
      <c r="D34" s="164">
        <f>IF(F33+SUM(E$17:E33)=D$10,F33,D$10-SUM(E$17:E33))</f>
        <v>0</v>
      </c>
      <c r="E34" s="162">
        <f t="shared" si="5"/>
        <v>0</v>
      </c>
      <c r="F34" s="161">
        <f t="shared" si="6"/>
        <v>0</v>
      </c>
      <c r="G34" s="163">
        <f t="shared" si="7"/>
        <v>0</v>
      </c>
      <c r="H34" s="145">
        <f t="shared" si="8"/>
        <v>0</v>
      </c>
      <c r="I34" s="158">
        <f t="shared" si="1"/>
        <v>0</v>
      </c>
      <c r="J34" s="158"/>
      <c r="K34" s="316"/>
      <c r="L34" s="160">
        <f t="shared" si="2"/>
        <v>0</v>
      </c>
      <c r="M34" s="316"/>
      <c r="N34" s="160">
        <f t="shared" si="3"/>
        <v>0</v>
      </c>
      <c r="O34" s="160">
        <f t="shared" si="4"/>
        <v>0</v>
      </c>
      <c r="P34" s="4"/>
    </row>
    <row r="35" spans="2:16">
      <c r="B35" t="str">
        <f t="shared" si="0"/>
        <v/>
      </c>
      <c r="C35" s="155">
        <f>IF(D11="","-",+C34+1)</f>
        <v>2036</v>
      </c>
      <c r="D35" s="164">
        <f>IF(F34+SUM(E$17:E34)=D$10,F34,D$10-SUM(E$17:E34))</f>
        <v>0</v>
      </c>
      <c r="E35" s="162">
        <f t="shared" si="5"/>
        <v>0</v>
      </c>
      <c r="F35" s="161">
        <f t="shared" si="6"/>
        <v>0</v>
      </c>
      <c r="G35" s="163">
        <f t="shared" si="7"/>
        <v>0</v>
      </c>
      <c r="H35" s="145">
        <f t="shared" si="8"/>
        <v>0</v>
      </c>
      <c r="I35" s="158">
        <f t="shared" si="1"/>
        <v>0</v>
      </c>
      <c r="J35" s="158"/>
      <c r="K35" s="316"/>
      <c r="L35" s="160">
        <f t="shared" si="2"/>
        <v>0</v>
      </c>
      <c r="M35" s="316"/>
      <c r="N35" s="160">
        <f t="shared" si="3"/>
        <v>0</v>
      </c>
      <c r="O35" s="160">
        <f t="shared" si="4"/>
        <v>0</v>
      </c>
      <c r="P35" s="4"/>
    </row>
    <row r="36" spans="2:16">
      <c r="B36" t="str">
        <f t="shared" si="0"/>
        <v/>
      </c>
      <c r="C36" s="155">
        <f>IF(D11="","-",+C35+1)</f>
        <v>2037</v>
      </c>
      <c r="D36" s="164">
        <f>IF(F35+SUM(E$17:E35)=D$10,F35,D$10-SUM(E$17:E35))</f>
        <v>0</v>
      </c>
      <c r="E36" s="162">
        <f t="shared" si="5"/>
        <v>0</v>
      </c>
      <c r="F36" s="161">
        <f t="shared" si="6"/>
        <v>0</v>
      </c>
      <c r="G36" s="163">
        <f t="shared" si="7"/>
        <v>0</v>
      </c>
      <c r="H36" s="145">
        <f t="shared" si="8"/>
        <v>0</v>
      </c>
      <c r="I36" s="158">
        <f t="shared" si="1"/>
        <v>0</v>
      </c>
      <c r="J36" s="158"/>
      <c r="K36" s="316"/>
      <c r="L36" s="160">
        <f t="shared" si="2"/>
        <v>0</v>
      </c>
      <c r="M36" s="316"/>
      <c r="N36" s="160">
        <f t="shared" si="3"/>
        <v>0</v>
      </c>
      <c r="O36" s="160">
        <f t="shared" si="4"/>
        <v>0</v>
      </c>
      <c r="P36" s="4"/>
    </row>
    <row r="37" spans="2:16">
      <c r="B37" t="str">
        <f t="shared" si="0"/>
        <v/>
      </c>
      <c r="C37" s="155">
        <f>IF(D11="","-",+C36+1)</f>
        <v>2038</v>
      </c>
      <c r="D37" s="164">
        <f>IF(F36+SUM(E$17:E36)=D$10,F36,D$10-SUM(E$17:E36))</f>
        <v>0</v>
      </c>
      <c r="E37" s="162">
        <f t="shared" si="5"/>
        <v>0</v>
      </c>
      <c r="F37" s="161">
        <f t="shared" si="6"/>
        <v>0</v>
      </c>
      <c r="G37" s="163">
        <f t="shared" si="7"/>
        <v>0</v>
      </c>
      <c r="H37" s="145">
        <f t="shared" si="8"/>
        <v>0</v>
      </c>
      <c r="I37" s="158">
        <f t="shared" si="1"/>
        <v>0</v>
      </c>
      <c r="J37" s="158"/>
      <c r="K37" s="316"/>
      <c r="L37" s="160">
        <f t="shared" si="2"/>
        <v>0</v>
      </c>
      <c r="M37" s="316"/>
      <c r="N37" s="160">
        <f t="shared" si="3"/>
        <v>0</v>
      </c>
      <c r="O37" s="160">
        <f t="shared" si="4"/>
        <v>0</v>
      </c>
      <c r="P37" s="4"/>
    </row>
    <row r="38" spans="2:16">
      <c r="B38" t="str">
        <f t="shared" si="0"/>
        <v/>
      </c>
      <c r="C38" s="155">
        <f>IF(D11="","-",+C37+1)</f>
        <v>2039</v>
      </c>
      <c r="D38" s="164">
        <f>IF(F37+SUM(E$17:E37)=D$10,F37,D$10-SUM(E$17:E37))</f>
        <v>0</v>
      </c>
      <c r="E38" s="162">
        <f t="shared" si="5"/>
        <v>0</v>
      </c>
      <c r="F38" s="161">
        <f t="shared" si="6"/>
        <v>0</v>
      </c>
      <c r="G38" s="163">
        <f t="shared" si="7"/>
        <v>0</v>
      </c>
      <c r="H38" s="145">
        <f t="shared" si="8"/>
        <v>0</v>
      </c>
      <c r="I38" s="158">
        <f t="shared" si="1"/>
        <v>0</v>
      </c>
      <c r="J38" s="158"/>
      <c r="K38" s="316"/>
      <c r="L38" s="160">
        <f t="shared" si="2"/>
        <v>0</v>
      </c>
      <c r="M38" s="316"/>
      <c r="N38" s="160">
        <f t="shared" si="3"/>
        <v>0</v>
      </c>
      <c r="O38" s="160">
        <f t="shared" si="4"/>
        <v>0</v>
      </c>
      <c r="P38" s="4"/>
    </row>
    <row r="39" spans="2:16">
      <c r="B39" t="str">
        <f t="shared" si="0"/>
        <v/>
      </c>
      <c r="C39" s="155">
        <f>IF(D11="","-",+C38+1)</f>
        <v>2040</v>
      </c>
      <c r="D39" s="164">
        <f>IF(F38+SUM(E$17:E38)=D$10,F38,D$10-SUM(E$17:E38))</f>
        <v>0</v>
      </c>
      <c r="E39" s="162">
        <f t="shared" si="5"/>
        <v>0</v>
      </c>
      <c r="F39" s="161">
        <f t="shared" si="6"/>
        <v>0</v>
      </c>
      <c r="G39" s="163">
        <f t="shared" si="7"/>
        <v>0</v>
      </c>
      <c r="H39" s="145">
        <f t="shared" si="8"/>
        <v>0</v>
      </c>
      <c r="I39" s="158">
        <f t="shared" si="1"/>
        <v>0</v>
      </c>
      <c r="J39" s="158"/>
      <c r="K39" s="316"/>
      <c r="L39" s="160">
        <f t="shared" si="2"/>
        <v>0</v>
      </c>
      <c r="M39" s="316"/>
      <c r="N39" s="160">
        <f t="shared" si="3"/>
        <v>0</v>
      </c>
      <c r="O39" s="160">
        <f t="shared" si="4"/>
        <v>0</v>
      </c>
      <c r="P39" s="4"/>
    </row>
    <row r="40" spans="2:16">
      <c r="B40" t="str">
        <f t="shared" si="0"/>
        <v/>
      </c>
      <c r="C40" s="155">
        <f>IF(D11="","-",+C39+1)</f>
        <v>2041</v>
      </c>
      <c r="D40" s="164">
        <f>IF(F39+SUM(E$17:E39)=D$10,F39,D$10-SUM(E$17:E39))</f>
        <v>0</v>
      </c>
      <c r="E40" s="162">
        <f t="shared" si="5"/>
        <v>0</v>
      </c>
      <c r="F40" s="161">
        <f t="shared" si="6"/>
        <v>0</v>
      </c>
      <c r="G40" s="163">
        <f t="shared" si="7"/>
        <v>0</v>
      </c>
      <c r="H40" s="145">
        <f t="shared" si="8"/>
        <v>0</v>
      </c>
      <c r="I40" s="158">
        <f t="shared" si="1"/>
        <v>0</v>
      </c>
      <c r="J40" s="158"/>
      <c r="K40" s="316"/>
      <c r="L40" s="160">
        <f t="shared" si="2"/>
        <v>0</v>
      </c>
      <c r="M40" s="316"/>
      <c r="N40" s="160">
        <f t="shared" si="3"/>
        <v>0</v>
      </c>
      <c r="O40" s="160">
        <f t="shared" si="4"/>
        <v>0</v>
      </c>
      <c r="P40" s="4"/>
    </row>
    <row r="41" spans="2:16">
      <c r="B41" t="str">
        <f t="shared" si="0"/>
        <v/>
      </c>
      <c r="C41" s="155">
        <f>IF(D11="","-",+C40+1)</f>
        <v>2042</v>
      </c>
      <c r="D41" s="164">
        <f>IF(F40+SUM(E$17:E40)=D$10,F40,D$10-SUM(E$17:E40))</f>
        <v>0</v>
      </c>
      <c r="E41" s="162">
        <f t="shared" si="5"/>
        <v>0</v>
      </c>
      <c r="F41" s="161">
        <f t="shared" si="6"/>
        <v>0</v>
      </c>
      <c r="G41" s="163">
        <f t="shared" si="7"/>
        <v>0</v>
      </c>
      <c r="H41" s="145">
        <f t="shared" si="8"/>
        <v>0</v>
      </c>
      <c r="I41" s="158">
        <f t="shared" si="1"/>
        <v>0</v>
      </c>
      <c r="J41" s="158"/>
      <c r="K41" s="316"/>
      <c r="L41" s="160">
        <f t="shared" si="2"/>
        <v>0</v>
      </c>
      <c r="M41" s="316"/>
      <c r="N41" s="160">
        <f t="shared" si="3"/>
        <v>0</v>
      </c>
      <c r="O41" s="160">
        <f t="shared" si="4"/>
        <v>0</v>
      </c>
      <c r="P41" s="4"/>
    </row>
    <row r="42" spans="2:16">
      <c r="B42" t="str">
        <f t="shared" si="0"/>
        <v/>
      </c>
      <c r="C42" s="155">
        <f>IF(D11="","-",+C41+1)</f>
        <v>2043</v>
      </c>
      <c r="D42" s="164">
        <f>IF(F41+SUM(E$17:E41)=D$10,F41,D$10-SUM(E$17:E41))</f>
        <v>0</v>
      </c>
      <c r="E42" s="162">
        <f t="shared" si="5"/>
        <v>0</v>
      </c>
      <c r="F42" s="161">
        <f t="shared" si="6"/>
        <v>0</v>
      </c>
      <c r="G42" s="163">
        <f t="shared" si="7"/>
        <v>0</v>
      </c>
      <c r="H42" s="145">
        <f t="shared" si="8"/>
        <v>0</v>
      </c>
      <c r="I42" s="158">
        <f t="shared" si="1"/>
        <v>0</v>
      </c>
      <c r="J42" s="158"/>
      <c r="K42" s="316"/>
      <c r="L42" s="160">
        <f t="shared" si="2"/>
        <v>0</v>
      </c>
      <c r="M42" s="316"/>
      <c r="N42" s="160">
        <f t="shared" si="3"/>
        <v>0</v>
      </c>
      <c r="O42" s="160">
        <f t="shared" si="4"/>
        <v>0</v>
      </c>
      <c r="P42" s="4"/>
    </row>
    <row r="43" spans="2:16">
      <c r="B43" t="str">
        <f t="shared" si="0"/>
        <v/>
      </c>
      <c r="C43" s="155">
        <f>IF(D11="","-",+C42+1)</f>
        <v>2044</v>
      </c>
      <c r="D43" s="164">
        <f>IF(F42+SUM(E$17:E42)=D$10,F42,D$10-SUM(E$17:E42))</f>
        <v>0</v>
      </c>
      <c r="E43" s="162">
        <f t="shared" si="5"/>
        <v>0</v>
      </c>
      <c r="F43" s="161">
        <f t="shared" si="6"/>
        <v>0</v>
      </c>
      <c r="G43" s="163">
        <f t="shared" si="7"/>
        <v>0</v>
      </c>
      <c r="H43" s="145">
        <f t="shared" si="8"/>
        <v>0</v>
      </c>
      <c r="I43" s="158">
        <f t="shared" si="1"/>
        <v>0</v>
      </c>
      <c r="J43" s="158"/>
      <c r="K43" s="316"/>
      <c r="L43" s="160">
        <f t="shared" si="2"/>
        <v>0</v>
      </c>
      <c r="M43" s="316"/>
      <c r="N43" s="160">
        <f t="shared" si="3"/>
        <v>0</v>
      </c>
      <c r="O43" s="160">
        <f t="shared" si="4"/>
        <v>0</v>
      </c>
      <c r="P43" s="4"/>
    </row>
    <row r="44" spans="2:16">
      <c r="B44" t="str">
        <f t="shared" si="0"/>
        <v/>
      </c>
      <c r="C44" s="155">
        <f>IF(D11="","-",+C43+1)</f>
        <v>2045</v>
      </c>
      <c r="D44" s="164">
        <f>IF(F43+SUM(E$17:E43)=D$10,F43,D$10-SUM(E$17:E43))</f>
        <v>0</v>
      </c>
      <c r="E44" s="162">
        <f t="shared" si="5"/>
        <v>0</v>
      </c>
      <c r="F44" s="161">
        <f t="shared" si="6"/>
        <v>0</v>
      </c>
      <c r="G44" s="163">
        <f t="shared" si="7"/>
        <v>0</v>
      </c>
      <c r="H44" s="145">
        <f t="shared" si="8"/>
        <v>0</v>
      </c>
      <c r="I44" s="158">
        <f t="shared" si="1"/>
        <v>0</v>
      </c>
      <c r="J44" s="158"/>
      <c r="K44" s="316"/>
      <c r="L44" s="160">
        <f t="shared" si="2"/>
        <v>0</v>
      </c>
      <c r="M44" s="316"/>
      <c r="N44" s="160">
        <f t="shared" si="3"/>
        <v>0</v>
      </c>
      <c r="O44" s="160">
        <f t="shared" si="4"/>
        <v>0</v>
      </c>
      <c r="P44" s="4"/>
    </row>
    <row r="45" spans="2:16">
      <c r="B45" t="str">
        <f t="shared" si="0"/>
        <v/>
      </c>
      <c r="C45" s="155">
        <f>IF(D11="","-",+C44+1)</f>
        <v>2046</v>
      </c>
      <c r="D45" s="164">
        <f>IF(F44+SUM(E$17:E44)=D$10,F44,D$10-SUM(E$17:E44))</f>
        <v>0</v>
      </c>
      <c r="E45" s="162">
        <f t="shared" si="5"/>
        <v>0</v>
      </c>
      <c r="F45" s="161">
        <f t="shared" si="6"/>
        <v>0</v>
      </c>
      <c r="G45" s="163">
        <f t="shared" si="7"/>
        <v>0</v>
      </c>
      <c r="H45" s="145">
        <f t="shared" si="8"/>
        <v>0</v>
      </c>
      <c r="I45" s="158">
        <f t="shared" si="1"/>
        <v>0</v>
      </c>
      <c r="J45" s="158"/>
      <c r="K45" s="316"/>
      <c r="L45" s="160">
        <f t="shared" si="2"/>
        <v>0</v>
      </c>
      <c r="M45" s="316"/>
      <c r="N45" s="160">
        <f t="shared" si="3"/>
        <v>0</v>
      </c>
      <c r="O45" s="160">
        <f t="shared" si="4"/>
        <v>0</v>
      </c>
      <c r="P45" s="4"/>
    </row>
    <row r="46" spans="2:16">
      <c r="B46" t="str">
        <f t="shared" si="0"/>
        <v/>
      </c>
      <c r="C46" s="155">
        <f>IF(D11="","-",+C45+1)</f>
        <v>2047</v>
      </c>
      <c r="D46" s="164">
        <f>IF(F45+SUM(E$17:E45)=D$10,F45,D$10-SUM(E$17:E45))</f>
        <v>0</v>
      </c>
      <c r="E46" s="162">
        <f t="shared" si="5"/>
        <v>0</v>
      </c>
      <c r="F46" s="161">
        <f t="shared" si="6"/>
        <v>0</v>
      </c>
      <c r="G46" s="163">
        <f t="shared" si="7"/>
        <v>0</v>
      </c>
      <c r="H46" s="145">
        <f t="shared" si="8"/>
        <v>0</v>
      </c>
      <c r="I46" s="158">
        <f t="shared" si="1"/>
        <v>0</v>
      </c>
      <c r="J46" s="158"/>
      <c r="K46" s="316"/>
      <c r="L46" s="160">
        <f t="shared" si="2"/>
        <v>0</v>
      </c>
      <c r="M46" s="316"/>
      <c r="N46" s="160">
        <f t="shared" si="3"/>
        <v>0</v>
      </c>
      <c r="O46" s="160">
        <f t="shared" si="4"/>
        <v>0</v>
      </c>
      <c r="P46" s="4"/>
    </row>
    <row r="47" spans="2:16">
      <c r="B47" t="str">
        <f t="shared" si="0"/>
        <v/>
      </c>
      <c r="C47" s="155">
        <f>IF(D11="","-",+C46+1)</f>
        <v>2048</v>
      </c>
      <c r="D47" s="164">
        <f>IF(F46+SUM(E$17:E46)=D$10,F46,D$10-SUM(E$17:E46))</f>
        <v>0</v>
      </c>
      <c r="E47" s="162">
        <f t="shared" si="5"/>
        <v>0</v>
      </c>
      <c r="F47" s="161">
        <f t="shared" si="6"/>
        <v>0</v>
      </c>
      <c r="G47" s="163">
        <f t="shared" si="7"/>
        <v>0</v>
      </c>
      <c r="H47" s="145">
        <f t="shared" si="8"/>
        <v>0</v>
      </c>
      <c r="I47" s="158">
        <f t="shared" si="1"/>
        <v>0</v>
      </c>
      <c r="J47" s="158"/>
      <c r="K47" s="316"/>
      <c r="L47" s="160">
        <f t="shared" si="2"/>
        <v>0</v>
      </c>
      <c r="M47" s="316"/>
      <c r="N47" s="160">
        <f t="shared" si="3"/>
        <v>0</v>
      </c>
      <c r="O47" s="160">
        <f t="shared" si="4"/>
        <v>0</v>
      </c>
      <c r="P47" s="4"/>
    </row>
    <row r="48" spans="2:16">
      <c r="B48" t="str">
        <f t="shared" si="0"/>
        <v/>
      </c>
      <c r="C48" s="155">
        <f>IF(D11="","-",+C47+1)</f>
        <v>2049</v>
      </c>
      <c r="D48" s="164">
        <f>IF(F47+SUM(E$17:E47)=D$10,F47,D$10-SUM(E$17:E47))</f>
        <v>0</v>
      </c>
      <c r="E48" s="162">
        <f t="shared" si="5"/>
        <v>0</v>
      </c>
      <c r="F48" s="161">
        <f t="shared" si="6"/>
        <v>0</v>
      </c>
      <c r="G48" s="163">
        <f t="shared" si="7"/>
        <v>0</v>
      </c>
      <c r="H48" s="145">
        <f t="shared" si="8"/>
        <v>0</v>
      </c>
      <c r="I48" s="158">
        <f t="shared" si="1"/>
        <v>0</v>
      </c>
      <c r="J48" s="158"/>
      <c r="K48" s="316"/>
      <c r="L48" s="160">
        <f t="shared" si="2"/>
        <v>0</v>
      </c>
      <c r="M48" s="316"/>
      <c r="N48" s="160">
        <f t="shared" si="3"/>
        <v>0</v>
      </c>
      <c r="O48" s="160">
        <f t="shared" si="4"/>
        <v>0</v>
      </c>
      <c r="P48" s="4"/>
    </row>
    <row r="49" spans="2:16">
      <c r="B49" t="str">
        <f t="shared" si="0"/>
        <v/>
      </c>
      <c r="C49" s="155">
        <f>IF(D11="","-",+C48+1)</f>
        <v>2050</v>
      </c>
      <c r="D49" s="164">
        <f>IF(F48+SUM(E$17:E48)=D$10,F48,D$10-SUM(E$17:E48))</f>
        <v>0</v>
      </c>
      <c r="E49" s="162">
        <f t="shared" si="5"/>
        <v>0</v>
      </c>
      <c r="F49" s="161">
        <f t="shared" ref="F49:F71" si="9">+D49-E49</f>
        <v>0</v>
      </c>
      <c r="G49" s="163">
        <f t="shared" si="7"/>
        <v>0</v>
      </c>
      <c r="H49" s="145">
        <f t="shared" si="8"/>
        <v>0</v>
      </c>
      <c r="I49" s="158">
        <f t="shared" ref="I49:I71" si="10">H49-G49</f>
        <v>0</v>
      </c>
      <c r="J49" s="158"/>
      <c r="K49" s="316"/>
      <c r="L49" s="160">
        <f t="shared" ref="L49:L71" si="11">IF(K49&lt;&gt;0,+G49-K49,0)</f>
        <v>0</v>
      </c>
      <c r="M49" s="316"/>
      <c r="N49" s="160">
        <f t="shared" ref="N49:N71" si="12">IF(M49&lt;&gt;0,+H49-M49,0)</f>
        <v>0</v>
      </c>
      <c r="O49" s="160">
        <f t="shared" ref="O49:O71" si="13">+N49-L49</f>
        <v>0</v>
      </c>
      <c r="P49" s="4"/>
    </row>
    <row r="50" spans="2:16">
      <c r="B50" t="str">
        <f t="shared" si="0"/>
        <v/>
      </c>
      <c r="C50" s="155">
        <f>IF(D11="","-",+C49+1)</f>
        <v>2051</v>
      </c>
      <c r="D50" s="164">
        <f>IF(F49+SUM(E$17:E49)=D$10,F49,D$10-SUM(E$17:E49))</f>
        <v>0</v>
      </c>
      <c r="E50" s="162">
        <f t="shared" ref="E50:E71" si="14">IF(+I$14&lt;F49,I$14,D50)</f>
        <v>0</v>
      </c>
      <c r="F50" s="161">
        <f t="shared" si="9"/>
        <v>0</v>
      </c>
      <c r="G50" s="163">
        <f t="shared" si="7"/>
        <v>0</v>
      </c>
      <c r="H50" s="145">
        <f t="shared" si="8"/>
        <v>0</v>
      </c>
      <c r="I50" s="158">
        <f t="shared" si="10"/>
        <v>0</v>
      </c>
      <c r="J50" s="158"/>
      <c r="K50" s="316"/>
      <c r="L50" s="160">
        <f t="shared" si="11"/>
        <v>0</v>
      </c>
      <c r="M50" s="316"/>
      <c r="N50" s="160">
        <f t="shared" si="12"/>
        <v>0</v>
      </c>
      <c r="O50" s="160">
        <f t="shared" si="13"/>
        <v>0</v>
      </c>
      <c r="P50" s="4"/>
    </row>
    <row r="51" spans="2:16">
      <c r="B51" t="str">
        <f t="shared" si="0"/>
        <v/>
      </c>
      <c r="C51" s="155">
        <f>IF(D11="","-",+C50+1)</f>
        <v>2052</v>
      </c>
      <c r="D51" s="164">
        <f>IF(F50+SUM(E$17:E50)=D$10,F50,D$10-SUM(E$17:E50))</f>
        <v>0</v>
      </c>
      <c r="E51" s="162">
        <f t="shared" si="14"/>
        <v>0</v>
      </c>
      <c r="F51" s="161">
        <f t="shared" si="9"/>
        <v>0</v>
      </c>
      <c r="G51" s="163">
        <f t="shared" si="7"/>
        <v>0</v>
      </c>
      <c r="H51" s="145">
        <f t="shared" si="8"/>
        <v>0</v>
      </c>
      <c r="I51" s="158">
        <f t="shared" si="10"/>
        <v>0</v>
      </c>
      <c r="J51" s="158"/>
      <c r="K51" s="316"/>
      <c r="L51" s="160">
        <f t="shared" si="11"/>
        <v>0</v>
      </c>
      <c r="M51" s="316"/>
      <c r="N51" s="160">
        <f t="shared" si="12"/>
        <v>0</v>
      </c>
      <c r="O51" s="160">
        <f t="shared" si="13"/>
        <v>0</v>
      </c>
      <c r="P51" s="4"/>
    </row>
    <row r="52" spans="2:16">
      <c r="B52" t="str">
        <f t="shared" si="0"/>
        <v/>
      </c>
      <c r="C52" s="155">
        <f>IF(D11="","-",+C51+1)</f>
        <v>2053</v>
      </c>
      <c r="D52" s="164">
        <f>IF(F51+SUM(E$17:E51)=D$10,F51,D$10-SUM(E$17:E51))</f>
        <v>0</v>
      </c>
      <c r="E52" s="162">
        <f t="shared" si="14"/>
        <v>0</v>
      </c>
      <c r="F52" s="161">
        <f t="shared" si="9"/>
        <v>0</v>
      </c>
      <c r="G52" s="163">
        <f t="shared" si="7"/>
        <v>0</v>
      </c>
      <c r="H52" s="145">
        <f t="shared" si="8"/>
        <v>0</v>
      </c>
      <c r="I52" s="158">
        <f t="shared" si="10"/>
        <v>0</v>
      </c>
      <c r="J52" s="158"/>
      <c r="K52" s="316"/>
      <c r="L52" s="160">
        <f t="shared" si="11"/>
        <v>0</v>
      </c>
      <c r="M52" s="316"/>
      <c r="N52" s="160">
        <f t="shared" si="12"/>
        <v>0</v>
      </c>
      <c r="O52" s="160">
        <f t="shared" si="13"/>
        <v>0</v>
      </c>
      <c r="P52" s="4"/>
    </row>
    <row r="53" spans="2:16">
      <c r="B53" t="str">
        <f t="shared" si="0"/>
        <v/>
      </c>
      <c r="C53" s="155">
        <f>IF(D11="","-",+C52+1)</f>
        <v>2054</v>
      </c>
      <c r="D53" s="164">
        <f>IF(F52+SUM(E$17:E52)=D$10,F52,D$10-SUM(E$17:E52))</f>
        <v>0</v>
      </c>
      <c r="E53" s="162">
        <f t="shared" si="14"/>
        <v>0</v>
      </c>
      <c r="F53" s="161">
        <f t="shared" si="9"/>
        <v>0</v>
      </c>
      <c r="G53" s="163">
        <f t="shared" si="7"/>
        <v>0</v>
      </c>
      <c r="H53" s="145">
        <f t="shared" si="8"/>
        <v>0</v>
      </c>
      <c r="I53" s="158">
        <f t="shared" si="10"/>
        <v>0</v>
      </c>
      <c r="J53" s="158"/>
      <c r="K53" s="316"/>
      <c r="L53" s="160">
        <f t="shared" si="11"/>
        <v>0</v>
      </c>
      <c r="M53" s="316"/>
      <c r="N53" s="160">
        <f t="shared" si="12"/>
        <v>0</v>
      </c>
      <c r="O53" s="160">
        <f t="shared" si="13"/>
        <v>0</v>
      </c>
      <c r="P53" s="4"/>
    </row>
    <row r="54" spans="2:16">
      <c r="B54" t="str">
        <f t="shared" si="0"/>
        <v/>
      </c>
      <c r="C54" s="155">
        <f>IF(D11="","-",+C53+1)</f>
        <v>2055</v>
      </c>
      <c r="D54" s="164">
        <f>IF(F53+SUM(E$17:E53)=D$10,F53,D$10-SUM(E$17:E53))</f>
        <v>0</v>
      </c>
      <c r="E54" s="162">
        <f t="shared" si="14"/>
        <v>0</v>
      </c>
      <c r="F54" s="161">
        <f t="shared" si="9"/>
        <v>0</v>
      </c>
      <c r="G54" s="163">
        <f t="shared" si="7"/>
        <v>0</v>
      </c>
      <c r="H54" s="145">
        <f t="shared" si="8"/>
        <v>0</v>
      </c>
      <c r="I54" s="158">
        <f t="shared" si="10"/>
        <v>0</v>
      </c>
      <c r="J54" s="158"/>
      <c r="K54" s="316"/>
      <c r="L54" s="160">
        <f t="shared" si="11"/>
        <v>0</v>
      </c>
      <c r="M54" s="316"/>
      <c r="N54" s="160">
        <f t="shared" si="12"/>
        <v>0</v>
      </c>
      <c r="O54" s="160">
        <f t="shared" si="13"/>
        <v>0</v>
      </c>
      <c r="P54" s="4"/>
    </row>
    <row r="55" spans="2:16">
      <c r="B55" t="str">
        <f t="shared" si="0"/>
        <v/>
      </c>
      <c r="C55" s="155">
        <f>IF(D11="","-",+C54+1)</f>
        <v>2056</v>
      </c>
      <c r="D55" s="164">
        <f>IF(F54+SUM(E$17:E54)=D$10,F54,D$10-SUM(E$17:E54))</f>
        <v>0</v>
      </c>
      <c r="E55" s="162">
        <f t="shared" si="14"/>
        <v>0</v>
      </c>
      <c r="F55" s="161">
        <f t="shared" si="9"/>
        <v>0</v>
      </c>
      <c r="G55" s="163">
        <f t="shared" si="7"/>
        <v>0</v>
      </c>
      <c r="H55" s="145">
        <f t="shared" si="8"/>
        <v>0</v>
      </c>
      <c r="I55" s="158">
        <f t="shared" si="10"/>
        <v>0</v>
      </c>
      <c r="J55" s="158"/>
      <c r="K55" s="316"/>
      <c r="L55" s="160">
        <f t="shared" si="11"/>
        <v>0</v>
      </c>
      <c r="M55" s="316"/>
      <c r="N55" s="160">
        <f t="shared" si="12"/>
        <v>0</v>
      </c>
      <c r="O55" s="160">
        <f t="shared" si="13"/>
        <v>0</v>
      </c>
      <c r="P55" s="4"/>
    </row>
    <row r="56" spans="2:16">
      <c r="B56" t="str">
        <f t="shared" si="0"/>
        <v/>
      </c>
      <c r="C56" s="155">
        <f>IF(D11="","-",+C55+1)</f>
        <v>2057</v>
      </c>
      <c r="D56" s="164">
        <f>IF(F55+SUM(E$17:E55)=D$10,F55,D$10-SUM(E$17:E55))</f>
        <v>0</v>
      </c>
      <c r="E56" s="162">
        <f t="shared" si="14"/>
        <v>0</v>
      </c>
      <c r="F56" s="161">
        <f t="shared" si="9"/>
        <v>0</v>
      </c>
      <c r="G56" s="163">
        <f t="shared" si="7"/>
        <v>0</v>
      </c>
      <c r="H56" s="145">
        <f t="shared" si="8"/>
        <v>0</v>
      </c>
      <c r="I56" s="158">
        <f t="shared" si="10"/>
        <v>0</v>
      </c>
      <c r="J56" s="158"/>
      <c r="K56" s="316"/>
      <c r="L56" s="160">
        <f t="shared" si="11"/>
        <v>0</v>
      </c>
      <c r="M56" s="316"/>
      <c r="N56" s="160">
        <f t="shared" si="12"/>
        <v>0</v>
      </c>
      <c r="O56" s="160">
        <f t="shared" si="13"/>
        <v>0</v>
      </c>
      <c r="P56" s="4"/>
    </row>
    <row r="57" spans="2:16">
      <c r="B57" t="str">
        <f t="shared" si="0"/>
        <v/>
      </c>
      <c r="C57" s="155">
        <f>IF(D11="","-",+C56+1)</f>
        <v>2058</v>
      </c>
      <c r="D57" s="164">
        <f>IF(F56+SUM(E$17:E56)=D$10,F56,D$10-SUM(E$17:E56))</f>
        <v>0</v>
      </c>
      <c r="E57" s="162">
        <f t="shared" si="14"/>
        <v>0</v>
      </c>
      <c r="F57" s="161">
        <f t="shared" si="9"/>
        <v>0</v>
      </c>
      <c r="G57" s="163">
        <f t="shared" si="7"/>
        <v>0</v>
      </c>
      <c r="H57" s="145">
        <f t="shared" si="8"/>
        <v>0</v>
      </c>
      <c r="I57" s="158">
        <f t="shared" si="10"/>
        <v>0</v>
      </c>
      <c r="J57" s="158"/>
      <c r="K57" s="316"/>
      <c r="L57" s="160">
        <f t="shared" si="11"/>
        <v>0</v>
      </c>
      <c r="M57" s="316"/>
      <c r="N57" s="160">
        <f t="shared" si="12"/>
        <v>0</v>
      </c>
      <c r="O57" s="160">
        <f t="shared" si="13"/>
        <v>0</v>
      </c>
      <c r="P57" s="4"/>
    </row>
    <row r="58" spans="2:16">
      <c r="B58" t="str">
        <f t="shared" si="0"/>
        <v/>
      </c>
      <c r="C58" s="155">
        <f>IF(D11="","-",+C57+1)</f>
        <v>2059</v>
      </c>
      <c r="D58" s="164">
        <f>IF(F57+SUM(E$17:E57)=D$10,F57,D$10-SUM(E$17:E57))</f>
        <v>0</v>
      </c>
      <c r="E58" s="162">
        <f t="shared" si="14"/>
        <v>0</v>
      </c>
      <c r="F58" s="161">
        <f t="shared" si="9"/>
        <v>0</v>
      </c>
      <c r="G58" s="163">
        <f t="shared" si="7"/>
        <v>0</v>
      </c>
      <c r="H58" s="145">
        <f t="shared" si="8"/>
        <v>0</v>
      </c>
      <c r="I58" s="158">
        <f t="shared" si="10"/>
        <v>0</v>
      </c>
      <c r="J58" s="158"/>
      <c r="K58" s="316"/>
      <c r="L58" s="160">
        <f t="shared" si="11"/>
        <v>0</v>
      </c>
      <c r="M58" s="316"/>
      <c r="N58" s="160">
        <f t="shared" si="12"/>
        <v>0</v>
      </c>
      <c r="O58" s="160">
        <f t="shared" si="13"/>
        <v>0</v>
      </c>
      <c r="P58" s="4"/>
    </row>
    <row r="59" spans="2:16">
      <c r="B59" t="str">
        <f t="shared" si="0"/>
        <v/>
      </c>
      <c r="C59" s="155">
        <f>IF(D11="","-",+C58+1)</f>
        <v>2060</v>
      </c>
      <c r="D59" s="164">
        <f>IF(F58+SUM(E$17:E58)=D$10,F58,D$10-SUM(E$17:E58))</f>
        <v>0</v>
      </c>
      <c r="E59" s="162">
        <f t="shared" si="14"/>
        <v>0</v>
      </c>
      <c r="F59" s="161">
        <f t="shared" si="9"/>
        <v>0</v>
      </c>
      <c r="G59" s="163">
        <f t="shared" si="7"/>
        <v>0</v>
      </c>
      <c r="H59" s="145">
        <f t="shared" si="8"/>
        <v>0</v>
      </c>
      <c r="I59" s="158">
        <f t="shared" si="10"/>
        <v>0</v>
      </c>
      <c r="J59" s="158"/>
      <c r="K59" s="316"/>
      <c r="L59" s="160">
        <f t="shared" si="11"/>
        <v>0</v>
      </c>
      <c r="M59" s="316"/>
      <c r="N59" s="160">
        <f t="shared" si="12"/>
        <v>0</v>
      </c>
      <c r="O59" s="160">
        <f t="shared" si="13"/>
        <v>0</v>
      </c>
      <c r="P59" s="4"/>
    </row>
    <row r="60" spans="2:16">
      <c r="B60" t="str">
        <f t="shared" si="0"/>
        <v/>
      </c>
      <c r="C60" s="155">
        <f>IF(D11="","-",+C59+1)</f>
        <v>2061</v>
      </c>
      <c r="D60" s="164">
        <f>IF(F59+SUM(E$17:E59)=D$10,F59,D$10-SUM(E$17:E59))</f>
        <v>0</v>
      </c>
      <c r="E60" s="162">
        <f t="shared" si="14"/>
        <v>0</v>
      </c>
      <c r="F60" s="161">
        <f t="shared" si="9"/>
        <v>0</v>
      </c>
      <c r="G60" s="163">
        <f t="shared" si="7"/>
        <v>0</v>
      </c>
      <c r="H60" s="145">
        <f t="shared" si="8"/>
        <v>0</v>
      </c>
      <c r="I60" s="158">
        <f t="shared" si="10"/>
        <v>0</v>
      </c>
      <c r="J60" s="158"/>
      <c r="K60" s="316"/>
      <c r="L60" s="160">
        <f t="shared" si="11"/>
        <v>0</v>
      </c>
      <c r="M60" s="316"/>
      <c r="N60" s="160">
        <f t="shared" si="12"/>
        <v>0</v>
      </c>
      <c r="O60" s="160">
        <f t="shared" si="13"/>
        <v>0</v>
      </c>
      <c r="P60" s="4"/>
    </row>
    <row r="61" spans="2:16">
      <c r="B61" t="str">
        <f t="shared" si="0"/>
        <v/>
      </c>
      <c r="C61" s="155">
        <f>IF(D11="","-",+C60+1)</f>
        <v>2062</v>
      </c>
      <c r="D61" s="164">
        <f>IF(F60+SUM(E$17:E60)=D$10,F60,D$10-SUM(E$17:E60))</f>
        <v>0</v>
      </c>
      <c r="E61" s="162">
        <f t="shared" si="14"/>
        <v>0</v>
      </c>
      <c r="F61" s="161">
        <f t="shared" si="9"/>
        <v>0</v>
      </c>
      <c r="G61" s="165">
        <f t="shared" si="7"/>
        <v>0</v>
      </c>
      <c r="H61" s="145">
        <f t="shared" si="8"/>
        <v>0</v>
      </c>
      <c r="I61" s="158">
        <f t="shared" si="10"/>
        <v>0</v>
      </c>
      <c r="J61" s="158"/>
      <c r="K61" s="316"/>
      <c r="L61" s="160">
        <f t="shared" si="11"/>
        <v>0</v>
      </c>
      <c r="M61" s="316"/>
      <c r="N61" s="160">
        <f t="shared" si="12"/>
        <v>0</v>
      </c>
      <c r="O61" s="160">
        <f t="shared" si="13"/>
        <v>0</v>
      </c>
      <c r="P61" s="4"/>
    </row>
    <row r="62" spans="2:16">
      <c r="B62" t="str">
        <f t="shared" si="0"/>
        <v/>
      </c>
      <c r="C62" s="155">
        <f>IF(D11="","-",+C61+1)</f>
        <v>2063</v>
      </c>
      <c r="D62" s="164">
        <f>IF(F61+SUM(E$17:E61)=D$10,F61,D$10-SUM(E$17:E61))</f>
        <v>0</v>
      </c>
      <c r="E62" s="162">
        <f t="shared" si="14"/>
        <v>0</v>
      </c>
      <c r="F62" s="161">
        <f t="shared" si="9"/>
        <v>0</v>
      </c>
      <c r="G62" s="165">
        <f t="shared" si="7"/>
        <v>0</v>
      </c>
      <c r="H62" s="145">
        <f t="shared" si="8"/>
        <v>0</v>
      </c>
      <c r="I62" s="158">
        <f t="shared" si="10"/>
        <v>0</v>
      </c>
      <c r="J62" s="158"/>
      <c r="K62" s="316"/>
      <c r="L62" s="160">
        <f t="shared" si="11"/>
        <v>0</v>
      </c>
      <c r="M62" s="316"/>
      <c r="N62" s="160">
        <f t="shared" si="12"/>
        <v>0</v>
      </c>
      <c r="O62" s="160">
        <f t="shared" si="13"/>
        <v>0</v>
      </c>
      <c r="P62" s="4"/>
    </row>
    <row r="63" spans="2:16">
      <c r="B63" t="str">
        <f t="shared" si="0"/>
        <v/>
      </c>
      <c r="C63" s="155">
        <f>IF(D11="","-",+C62+1)</f>
        <v>2064</v>
      </c>
      <c r="D63" s="164">
        <f>IF(F62+SUM(E$17:E62)=D$10,F62,D$10-SUM(E$17:E62))</f>
        <v>0</v>
      </c>
      <c r="E63" s="162">
        <f t="shared" si="14"/>
        <v>0</v>
      </c>
      <c r="F63" s="161">
        <f t="shared" si="9"/>
        <v>0</v>
      </c>
      <c r="G63" s="165">
        <f t="shared" si="7"/>
        <v>0</v>
      </c>
      <c r="H63" s="145">
        <f t="shared" si="8"/>
        <v>0</v>
      </c>
      <c r="I63" s="158">
        <f t="shared" si="10"/>
        <v>0</v>
      </c>
      <c r="J63" s="158"/>
      <c r="K63" s="316"/>
      <c r="L63" s="160">
        <f t="shared" si="11"/>
        <v>0</v>
      </c>
      <c r="M63" s="316"/>
      <c r="N63" s="160">
        <f t="shared" si="12"/>
        <v>0</v>
      </c>
      <c r="O63" s="160">
        <f t="shared" si="13"/>
        <v>0</v>
      </c>
      <c r="P63" s="4"/>
    </row>
    <row r="64" spans="2:16">
      <c r="B64" t="str">
        <f t="shared" si="0"/>
        <v/>
      </c>
      <c r="C64" s="155">
        <f>IF(D11="","-",+C63+1)</f>
        <v>2065</v>
      </c>
      <c r="D64" s="164">
        <f>IF(F63+SUM(E$17:E63)=D$10,F63,D$10-SUM(E$17:E63))</f>
        <v>0</v>
      </c>
      <c r="E64" s="162">
        <f t="shared" si="14"/>
        <v>0</v>
      </c>
      <c r="F64" s="161">
        <f t="shared" si="9"/>
        <v>0</v>
      </c>
      <c r="G64" s="165">
        <f t="shared" si="7"/>
        <v>0</v>
      </c>
      <c r="H64" s="145">
        <f t="shared" si="8"/>
        <v>0</v>
      </c>
      <c r="I64" s="158">
        <f t="shared" si="10"/>
        <v>0</v>
      </c>
      <c r="J64" s="158"/>
      <c r="K64" s="316"/>
      <c r="L64" s="160">
        <f t="shared" si="11"/>
        <v>0</v>
      </c>
      <c r="M64" s="316"/>
      <c r="N64" s="160">
        <f t="shared" si="12"/>
        <v>0</v>
      </c>
      <c r="O64" s="160">
        <f t="shared" si="13"/>
        <v>0</v>
      </c>
      <c r="P64" s="4"/>
    </row>
    <row r="65" spans="2:16">
      <c r="B65" t="str">
        <f t="shared" si="0"/>
        <v/>
      </c>
      <c r="C65" s="155">
        <f>IF(D11="","-",+C64+1)</f>
        <v>2066</v>
      </c>
      <c r="D65" s="164">
        <f>IF(F64+SUM(E$17:E64)=D$10,F64,D$10-SUM(E$17:E64))</f>
        <v>0</v>
      </c>
      <c r="E65" s="162">
        <f t="shared" si="14"/>
        <v>0</v>
      </c>
      <c r="F65" s="161">
        <f t="shared" si="9"/>
        <v>0</v>
      </c>
      <c r="G65" s="165">
        <f t="shared" si="7"/>
        <v>0</v>
      </c>
      <c r="H65" s="145">
        <f t="shared" si="8"/>
        <v>0</v>
      </c>
      <c r="I65" s="158">
        <f t="shared" si="10"/>
        <v>0</v>
      </c>
      <c r="J65" s="158"/>
      <c r="K65" s="316"/>
      <c r="L65" s="160">
        <f t="shared" si="11"/>
        <v>0</v>
      </c>
      <c r="M65" s="316"/>
      <c r="N65" s="160">
        <f t="shared" si="12"/>
        <v>0</v>
      </c>
      <c r="O65" s="160">
        <f t="shared" si="13"/>
        <v>0</v>
      </c>
      <c r="P65" s="4"/>
    </row>
    <row r="66" spans="2:16">
      <c r="B66" t="str">
        <f t="shared" si="0"/>
        <v/>
      </c>
      <c r="C66" s="155">
        <f>IF(D11="","-",+C65+1)</f>
        <v>2067</v>
      </c>
      <c r="D66" s="164">
        <f>IF(F65+SUM(E$17:E65)=D$10,F65,D$10-SUM(E$17:E65))</f>
        <v>0</v>
      </c>
      <c r="E66" s="162">
        <f t="shared" si="14"/>
        <v>0</v>
      </c>
      <c r="F66" s="161">
        <f t="shared" si="9"/>
        <v>0</v>
      </c>
      <c r="G66" s="165">
        <f t="shared" si="7"/>
        <v>0</v>
      </c>
      <c r="H66" s="145">
        <f t="shared" si="8"/>
        <v>0</v>
      </c>
      <c r="I66" s="158">
        <f t="shared" si="10"/>
        <v>0</v>
      </c>
      <c r="J66" s="158"/>
      <c r="K66" s="316"/>
      <c r="L66" s="160">
        <f t="shared" si="11"/>
        <v>0</v>
      </c>
      <c r="M66" s="316"/>
      <c r="N66" s="160">
        <f t="shared" si="12"/>
        <v>0</v>
      </c>
      <c r="O66" s="160">
        <f t="shared" si="13"/>
        <v>0</v>
      </c>
      <c r="P66" s="4"/>
    </row>
    <row r="67" spans="2:16">
      <c r="B67" t="str">
        <f t="shared" si="0"/>
        <v/>
      </c>
      <c r="C67" s="155">
        <f>IF(D11="","-",+C66+1)</f>
        <v>2068</v>
      </c>
      <c r="D67" s="164">
        <f>IF(F66+SUM(E$17:E66)=D$10,F66,D$10-SUM(E$17:E66))</f>
        <v>0</v>
      </c>
      <c r="E67" s="162">
        <f t="shared" si="14"/>
        <v>0</v>
      </c>
      <c r="F67" s="161">
        <f t="shared" si="9"/>
        <v>0</v>
      </c>
      <c r="G67" s="165">
        <f t="shared" si="7"/>
        <v>0</v>
      </c>
      <c r="H67" s="145">
        <f t="shared" si="8"/>
        <v>0</v>
      </c>
      <c r="I67" s="158">
        <f t="shared" si="10"/>
        <v>0</v>
      </c>
      <c r="J67" s="158"/>
      <c r="K67" s="316"/>
      <c r="L67" s="160">
        <f t="shared" si="11"/>
        <v>0</v>
      </c>
      <c r="M67" s="316"/>
      <c r="N67" s="160">
        <f t="shared" si="12"/>
        <v>0</v>
      </c>
      <c r="O67" s="160">
        <f t="shared" si="13"/>
        <v>0</v>
      </c>
      <c r="P67" s="4"/>
    </row>
    <row r="68" spans="2:16">
      <c r="B68" t="str">
        <f t="shared" si="0"/>
        <v/>
      </c>
      <c r="C68" s="155">
        <f>IF(D11="","-",+C67+1)</f>
        <v>2069</v>
      </c>
      <c r="D68" s="164">
        <f>IF(F67+SUM(E$17:E67)=D$10,F67,D$10-SUM(E$17:E67))</f>
        <v>0</v>
      </c>
      <c r="E68" s="162">
        <f t="shared" si="14"/>
        <v>0</v>
      </c>
      <c r="F68" s="161">
        <f t="shared" si="9"/>
        <v>0</v>
      </c>
      <c r="G68" s="165">
        <f t="shared" si="7"/>
        <v>0</v>
      </c>
      <c r="H68" s="145">
        <f t="shared" si="8"/>
        <v>0</v>
      </c>
      <c r="I68" s="158">
        <f t="shared" si="10"/>
        <v>0</v>
      </c>
      <c r="J68" s="158"/>
      <c r="K68" s="316"/>
      <c r="L68" s="160">
        <f t="shared" si="11"/>
        <v>0</v>
      </c>
      <c r="M68" s="316"/>
      <c r="N68" s="160">
        <f t="shared" si="12"/>
        <v>0</v>
      </c>
      <c r="O68" s="160">
        <f t="shared" si="13"/>
        <v>0</v>
      </c>
      <c r="P68" s="4"/>
    </row>
    <row r="69" spans="2:16">
      <c r="B69" t="str">
        <f t="shared" si="0"/>
        <v/>
      </c>
      <c r="C69" s="155">
        <f>IF(D11="","-",+C68+1)</f>
        <v>2070</v>
      </c>
      <c r="D69" s="164">
        <f>IF(F68+SUM(E$17:E68)=D$10,F68,D$10-SUM(E$17:E68))</f>
        <v>0</v>
      </c>
      <c r="E69" s="162">
        <f t="shared" si="14"/>
        <v>0</v>
      </c>
      <c r="F69" s="161">
        <f t="shared" si="9"/>
        <v>0</v>
      </c>
      <c r="G69" s="165">
        <f t="shared" si="7"/>
        <v>0</v>
      </c>
      <c r="H69" s="145">
        <f t="shared" si="8"/>
        <v>0</v>
      </c>
      <c r="I69" s="158">
        <f t="shared" si="10"/>
        <v>0</v>
      </c>
      <c r="J69" s="158"/>
      <c r="K69" s="316"/>
      <c r="L69" s="160">
        <f t="shared" si="11"/>
        <v>0</v>
      </c>
      <c r="M69" s="316"/>
      <c r="N69" s="160">
        <f t="shared" si="12"/>
        <v>0</v>
      </c>
      <c r="O69" s="160">
        <f t="shared" si="13"/>
        <v>0</v>
      </c>
      <c r="P69" s="4"/>
    </row>
    <row r="70" spans="2:16">
      <c r="B70" t="str">
        <f t="shared" si="0"/>
        <v/>
      </c>
      <c r="C70" s="155">
        <f>IF(D11="","-",+C69+1)</f>
        <v>2071</v>
      </c>
      <c r="D70" s="164">
        <f>IF(F69+SUM(E$17:E69)=D$10,F69,D$10-SUM(E$17:E69))</f>
        <v>0</v>
      </c>
      <c r="E70" s="162">
        <f t="shared" si="14"/>
        <v>0</v>
      </c>
      <c r="F70" s="161">
        <f t="shared" si="9"/>
        <v>0</v>
      </c>
      <c r="G70" s="165">
        <f t="shared" si="7"/>
        <v>0</v>
      </c>
      <c r="H70" s="145">
        <f t="shared" si="8"/>
        <v>0</v>
      </c>
      <c r="I70" s="158">
        <f t="shared" si="10"/>
        <v>0</v>
      </c>
      <c r="J70" s="158"/>
      <c r="K70" s="316"/>
      <c r="L70" s="160">
        <f t="shared" si="11"/>
        <v>0</v>
      </c>
      <c r="M70" s="316"/>
      <c r="N70" s="160">
        <f t="shared" si="12"/>
        <v>0</v>
      </c>
      <c r="O70" s="160">
        <f t="shared" si="13"/>
        <v>0</v>
      </c>
      <c r="P70" s="4"/>
    </row>
    <row r="71" spans="2:16">
      <c r="B71" t="str">
        <f t="shared" si="0"/>
        <v/>
      </c>
      <c r="C71" s="155">
        <f>IF(D11="","-",+C70+1)</f>
        <v>2072</v>
      </c>
      <c r="D71" s="164">
        <f>IF(F70+SUM(E$17:E70)=D$10,F70,D$10-SUM(E$17:E70))</f>
        <v>0</v>
      </c>
      <c r="E71" s="162">
        <f t="shared" si="14"/>
        <v>0</v>
      </c>
      <c r="F71" s="161">
        <f t="shared" si="9"/>
        <v>0</v>
      </c>
      <c r="G71" s="165">
        <f t="shared" si="7"/>
        <v>0</v>
      </c>
      <c r="H71" s="145">
        <f t="shared" si="8"/>
        <v>0</v>
      </c>
      <c r="I71" s="158">
        <f t="shared" si="10"/>
        <v>0</v>
      </c>
      <c r="J71" s="158"/>
      <c r="K71" s="316"/>
      <c r="L71" s="160">
        <f t="shared" si="11"/>
        <v>0</v>
      </c>
      <c r="M71" s="316"/>
      <c r="N71" s="160">
        <f t="shared" si="12"/>
        <v>0</v>
      </c>
      <c r="O71" s="160">
        <f t="shared" si="13"/>
        <v>0</v>
      </c>
      <c r="P71" s="4"/>
    </row>
    <row r="72" spans="2:16">
      <c r="C72" s="155">
        <f>IF(D12="","-",+C71+1)</f>
        <v>2073</v>
      </c>
      <c r="D72" s="164">
        <f>IF(F71+SUM(E$17:E71)=D$10,F71,D$10-SUM(E$17:E71))</f>
        <v>0</v>
      </c>
      <c r="E72" s="162">
        <f>IF(+I$14&lt;F71,I$14,D72)</f>
        <v>0</v>
      </c>
      <c r="F72" s="161">
        <f>+D72-E72</f>
        <v>0</v>
      </c>
      <c r="G72" s="165">
        <f>(D72+F72)/2*I$12+E72</f>
        <v>0</v>
      </c>
      <c r="H72" s="145">
        <f>+(D72+F72)/2*I$13+E72</f>
        <v>0</v>
      </c>
      <c r="I72" s="158">
        <f>H72-G72</f>
        <v>0</v>
      </c>
      <c r="J72" s="158"/>
      <c r="K72" s="316"/>
      <c r="L72" s="160">
        <f>IF(K72&lt;&gt;0,+G72-K72,0)</f>
        <v>0</v>
      </c>
      <c r="M72" s="316"/>
      <c r="N72" s="160">
        <f>IF(M72&lt;&gt;0,+H72-M72,0)</f>
        <v>0</v>
      </c>
      <c r="O72" s="160">
        <f>+N72-L72</f>
        <v>0</v>
      </c>
      <c r="P72" s="4"/>
    </row>
    <row r="73" spans="2:16" ht="13.5" thickBot="1">
      <c r="B73" t="str">
        <f>IF(D73=F71,"","IU")</f>
        <v/>
      </c>
      <c r="C73" s="166">
        <f>IF(D13="","-",+C72+1)</f>
        <v>2074</v>
      </c>
      <c r="D73" s="168">
        <f>IF(F72+SUM(E$17:E72)=D$10,F72,D$10-SUM(E$17:E72))</f>
        <v>0</v>
      </c>
      <c r="E73" s="168">
        <f>IF(+I$14&lt;F72,I$14,D73)</f>
        <v>0</v>
      </c>
      <c r="F73" s="167">
        <f>+D73-E73</f>
        <v>0</v>
      </c>
      <c r="G73" s="169">
        <f>(D73+F73)/2*I$12+E73</f>
        <v>0</v>
      </c>
      <c r="H73" s="127">
        <f>+(D73+F73)/2*I$13+E73</f>
        <v>0</v>
      </c>
      <c r="I73" s="170">
        <f>H73-G73</f>
        <v>0</v>
      </c>
      <c r="J73" s="158"/>
      <c r="K73" s="317"/>
      <c r="L73" s="171">
        <f>IF(K73&lt;&gt;0,+G73-K73,0)</f>
        <v>0</v>
      </c>
      <c r="M73" s="317"/>
      <c r="N73" s="171">
        <f>IF(M73&lt;&gt;0,+H73-M73,0)</f>
        <v>0</v>
      </c>
      <c r="O73" s="171">
        <f>+N73-L73</f>
        <v>0</v>
      </c>
      <c r="P73" s="4"/>
    </row>
    <row r="74" spans="2:16">
      <c r="C74" s="156" t="s">
        <v>75</v>
      </c>
      <c r="D74" s="112"/>
      <c r="E74" s="112">
        <f>SUM(E17:E73)</f>
        <v>0</v>
      </c>
      <c r="F74" s="112"/>
      <c r="G74" s="112">
        <f>SUM(G17:G73)</f>
        <v>0</v>
      </c>
      <c r="H74" s="112">
        <f>SUM(H17:H73)</f>
        <v>0</v>
      </c>
      <c r="I74" s="112">
        <f>SUM(I17:I73)</f>
        <v>0</v>
      </c>
      <c r="J74" s="112"/>
      <c r="K74" s="112"/>
      <c r="L74" s="112"/>
      <c r="M74" s="112"/>
      <c r="N74" s="112"/>
      <c r="O74" s="4"/>
      <c r="P74" s="4"/>
    </row>
    <row r="75" spans="2:16">
      <c r="D75" s="2"/>
      <c r="E75" s="1"/>
      <c r="F75" s="1"/>
      <c r="G75" s="1"/>
      <c r="H75" s="3"/>
      <c r="I75" s="3"/>
      <c r="J75" s="112"/>
      <c r="K75" s="3"/>
      <c r="L75" s="3"/>
      <c r="M75" s="3"/>
      <c r="N75" s="3"/>
      <c r="O75" s="1"/>
      <c r="P75" s="1"/>
    </row>
    <row r="76" spans="2:16">
      <c r="C76" s="172" t="s">
        <v>95</v>
      </c>
      <c r="D76" s="2"/>
      <c r="E76" s="1"/>
      <c r="F76" s="1"/>
      <c r="G76" s="1"/>
      <c r="H76" s="3"/>
      <c r="I76" s="3"/>
      <c r="J76" s="112"/>
      <c r="K76" s="3"/>
      <c r="L76" s="3"/>
      <c r="M76" s="3"/>
      <c r="N76" s="3"/>
      <c r="O76" s="1"/>
      <c r="P76" s="1"/>
    </row>
    <row r="77" spans="2:16">
      <c r="C77" s="124" t="s">
        <v>76</v>
      </c>
      <c r="D77" s="2"/>
      <c r="E77" s="1"/>
      <c r="F77" s="1"/>
      <c r="G77" s="1"/>
      <c r="H77" s="3"/>
      <c r="I77" s="3"/>
      <c r="J77" s="112"/>
      <c r="K77" s="3"/>
      <c r="L77" s="3"/>
      <c r="M77" s="3"/>
      <c r="N77" s="3"/>
      <c r="O77" s="4"/>
      <c r="P77" s="4"/>
    </row>
    <row r="78" spans="2:16">
      <c r="C78" s="124" t="s">
        <v>77</v>
      </c>
      <c r="D78" s="156"/>
      <c r="E78" s="156"/>
      <c r="F78" s="156"/>
      <c r="G78" s="112"/>
      <c r="H78" s="112"/>
      <c r="I78" s="173"/>
      <c r="J78" s="173"/>
      <c r="K78" s="173"/>
      <c r="L78" s="173"/>
      <c r="M78" s="173"/>
      <c r="N78" s="173"/>
      <c r="O78" s="4"/>
      <c r="P78" s="4"/>
    </row>
    <row r="79" spans="2:16">
      <c r="C79" s="124"/>
      <c r="D79" s="156"/>
      <c r="E79" s="156"/>
      <c r="F79" s="156"/>
      <c r="G79" s="112"/>
      <c r="H79" s="112"/>
      <c r="I79" s="173"/>
      <c r="J79" s="173"/>
      <c r="K79" s="173"/>
      <c r="L79" s="173"/>
      <c r="M79" s="173"/>
      <c r="N79" s="173"/>
      <c r="O79" s="4"/>
      <c r="P79" s="1"/>
    </row>
    <row r="80" spans="2:16">
      <c r="B80" s="1"/>
      <c r="C80" s="23"/>
      <c r="D80" s="2"/>
      <c r="E80" s="1"/>
      <c r="F80" s="108"/>
      <c r="G80" s="1"/>
      <c r="H80" s="3"/>
      <c r="I80" s="1"/>
      <c r="J80" s="4"/>
      <c r="K80" s="1"/>
      <c r="L80" s="1"/>
      <c r="M80" s="1"/>
      <c r="N80" s="1"/>
      <c r="O80" s="1"/>
      <c r="P80" s="1"/>
    </row>
    <row r="81" spans="1:16" ht="18">
      <c r="B81" s="1"/>
      <c r="C81" s="239"/>
      <c r="D81" s="2"/>
      <c r="E81" s="1"/>
      <c r="F81" s="108"/>
      <c r="G81" s="1"/>
      <c r="H81" s="3"/>
      <c r="I81" s="1"/>
      <c r="J81" s="4"/>
      <c r="K81" s="1"/>
      <c r="L81" s="1"/>
      <c r="M81" s="1"/>
      <c r="N81" s="1"/>
      <c r="P81" s="241" t="s">
        <v>128</v>
      </c>
    </row>
    <row r="82" spans="1:16">
      <c r="B82" s="1"/>
      <c r="C82" s="23"/>
      <c r="D82" s="2"/>
      <c r="E82" s="1"/>
      <c r="F82" s="108"/>
      <c r="G82" s="1"/>
      <c r="H82" s="3"/>
      <c r="I82" s="1"/>
      <c r="J82" s="4"/>
      <c r="K82" s="1"/>
      <c r="L82" s="1"/>
      <c r="M82" s="1"/>
      <c r="N82" s="1"/>
      <c r="O82" s="1"/>
      <c r="P82" s="1"/>
    </row>
    <row r="83" spans="1:16">
      <c r="B83" s="1"/>
      <c r="C83" s="23"/>
      <c r="D83" s="2"/>
      <c r="E83" s="1"/>
      <c r="F83" s="108"/>
      <c r="G83" s="1"/>
      <c r="H83" s="3"/>
      <c r="I83" s="1"/>
      <c r="J83" s="4"/>
      <c r="K83" s="1"/>
      <c r="L83" s="1"/>
      <c r="M83" s="1"/>
      <c r="N83" s="1"/>
      <c r="O83" s="1"/>
      <c r="P83" s="1"/>
    </row>
    <row r="84" spans="1:16" ht="20.25">
      <c r="A84" s="240" t="s">
        <v>190</v>
      </c>
      <c r="B84" s="1"/>
      <c r="C84" s="23"/>
      <c r="D84" s="2"/>
      <c r="E84" s="1"/>
      <c r="F84" s="100"/>
      <c r="G84" s="100"/>
      <c r="H84" s="1"/>
      <c r="I84" s="3"/>
      <c r="K84" s="7"/>
      <c r="L84" s="110"/>
      <c r="M84" s="110"/>
      <c r="P84" s="110" t="str">
        <f ca="1">P1</f>
        <v>OKT Project nk of 19</v>
      </c>
    </row>
    <row r="85" spans="1:16" ht="18">
      <c r="B85" s="1"/>
      <c r="C85" s="1"/>
      <c r="D85" s="2"/>
      <c r="E85" s="1"/>
      <c r="F85" s="1"/>
      <c r="G85" s="1"/>
      <c r="H85" s="1"/>
      <c r="I85" s="3"/>
      <c r="J85" s="1"/>
      <c r="K85" s="4"/>
      <c r="L85" s="1"/>
      <c r="M85" s="1"/>
      <c r="P85" s="247" t="s">
        <v>132</v>
      </c>
    </row>
    <row r="86" spans="1:16" ht="18.75" thickBot="1">
      <c r="B86" s="5" t="s">
        <v>42</v>
      </c>
      <c r="C86" s="197" t="s">
        <v>81</v>
      </c>
      <c r="D86" s="2"/>
      <c r="E86" s="1"/>
      <c r="F86" s="1"/>
      <c r="G86" s="1"/>
      <c r="H86" s="1"/>
      <c r="I86" s="3"/>
      <c r="J86" s="3"/>
      <c r="K86" s="112"/>
      <c r="L86" s="3"/>
      <c r="M86" s="3"/>
      <c r="N86" s="3"/>
      <c r="O86" s="112"/>
      <c r="P86" s="1"/>
    </row>
    <row r="87" spans="1:16" ht="15.75" thickBot="1">
      <c r="C87" s="68"/>
      <c r="D87" s="2"/>
      <c r="E87" s="1"/>
      <c r="F87" s="1"/>
      <c r="G87" s="1"/>
      <c r="H87" s="1"/>
      <c r="I87" s="3"/>
      <c r="J87" s="3"/>
      <c r="K87" s="112"/>
      <c r="L87" s="248">
        <f>+J93</f>
        <v>2018</v>
      </c>
      <c r="M87" s="249" t="s">
        <v>9</v>
      </c>
      <c r="N87" s="250" t="s">
        <v>134</v>
      </c>
      <c r="O87" s="251" t="s">
        <v>11</v>
      </c>
      <c r="P87" s="1"/>
    </row>
    <row r="88" spans="1:16" ht="15">
      <c r="C88" s="233" t="s">
        <v>44</v>
      </c>
      <c r="D88" s="2"/>
      <c r="E88" s="1"/>
      <c r="F88" s="1"/>
      <c r="G88" s="1"/>
      <c r="H88" s="114"/>
      <c r="I88" s="1" t="s">
        <v>45</v>
      </c>
      <c r="J88" s="1"/>
      <c r="K88" s="252"/>
      <c r="L88" s="253" t="s">
        <v>253</v>
      </c>
      <c r="M88" s="198">
        <f>IF(J93&lt;D11,0,VLOOKUP(J93,C17:O73,9))</f>
        <v>0</v>
      </c>
      <c r="N88" s="198">
        <f>IF(J93&lt;D11,0,VLOOKUP(J93,C17:O73,11))</f>
        <v>0</v>
      </c>
      <c r="O88" s="199">
        <f>+N88-M88</f>
        <v>0</v>
      </c>
      <c r="P88" s="1"/>
    </row>
    <row r="89" spans="1:16" ht="15.75">
      <c r="C89" s="8"/>
      <c r="D89" s="2"/>
      <c r="E89" s="1"/>
      <c r="F89" s="1"/>
      <c r="G89" s="1"/>
      <c r="H89" s="1"/>
      <c r="I89" s="119"/>
      <c r="J89" s="119"/>
      <c r="K89" s="254"/>
      <c r="L89" s="255" t="s">
        <v>254</v>
      </c>
      <c r="M89" s="200">
        <f>IF(J93&lt;D11,0,VLOOKUP(J93,C100:P155,6))</f>
        <v>0</v>
      </c>
      <c r="N89" s="200">
        <f>IF(J93&lt;D11,0,VLOOKUP(J93,C100:P155,7))</f>
        <v>0</v>
      </c>
      <c r="O89" s="201">
        <f>+N89-M89</f>
        <v>0</v>
      </c>
      <c r="P89" s="1"/>
    </row>
    <row r="90" spans="1:16" ht="13.5" thickBot="1">
      <c r="C90" s="124" t="s">
        <v>82</v>
      </c>
      <c r="D90" s="243" t="str">
        <f>+D7</f>
        <v>insert project name here</v>
      </c>
      <c r="E90" s="1"/>
      <c r="F90" s="1"/>
      <c r="G90" s="1"/>
      <c r="H90" s="1"/>
      <c r="I90" s="3"/>
      <c r="J90" s="3"/>
      <c r="K90" s="256"/>
      <c r="L90" s="257" t="s">
        <v>135</v>
      </c>
      <c r="M90" s="203">
        <f>+M89-M88</f>
        <v>0</v>
      </c>
      <c r="N90" s="203">
        <f>+N89-N88</f>
        <v>0</v>
      </c>
      <c r="O90" s="204">
        <f>+O89-O88</f>
        <v>0</v>
      </c>
      <c r="P90" s="1"/>
    </row>
    <row r="91" spans="1:16" ht="13.5" thickBot="1">
      <c r="C91" s="172"/>
      <c r="D91" s="174" t="str">
        <f>IF(D8="","",D8)</f>
        <v>DOES NOT MEET SPP $100,000 MINIMUM INVESTMENT FOR REGIONAL BPU SHARING.</v>
      </c>
      <c r="E91" s="108"/>
      <c r="F91" s="108"/>
      <c r="G91" s="108"/>
      <c r="H91" s="129"/>
      <c r="I91" s="3"/>
      <c r="J91" s="3"/>
      <c r="K91" s="112"/>
      <c r="L91" s="3"/>
      <c r="M91" s="3"/>
      <c r="N91" s="3"/>
      <c r="O91" s="112"/>
      <c r="P91" s="1"/>
    </row>
    <row r="92" spans="1:16" ht="13.5" thickBot="1">
      <c r="A92" s="104"/>
      <c r="C92" s="205" t="s">
        <v>83</v>
      </c>
      <c r="D92" s="223" t="str">
        <f>+D9</f>
        <v>TP2004033</v>
      </c>
      <c r="E92" s="206"/>
      <c r="F92" s="206"/>
      <c r="G92" s="206"/>
      <c r="H92" s="206"/>
      <c r="I92" s="206"/>
      <c r="J92" s="206"/>
      <c r="K92" s="207"/>
      <c r="P92" s="134"/>
    </row>
    <row r="93" spans="1:16">
      <c r="C93" s="139" t="s">
        <v>49</v>
      </c>
      <c r="D93" s="218">
        <v>0</v>
      </c>
      <c r="E93" s="23" t="s">
        <v>84</v>
      </c>
      <c r="H93" s="137"/>
      <c r="I93" s="137"/>
      <c r="J93" s="138">
        <f>+'OKT.WS.G.BPU.ATRR.True-up'!M16</f>
        <v>2018</v>
      </c>
      <c r="K93" s="133"/>
      <c r="L93" s="112" t="s">
        <v>85</v>
      </c>
      <c r="P93" s="4"/>
    </row>
    <row r="94" spans="1:16">
      <c r="C94" s="139" t="s">
        <v>52</v>
      </c>
      <c r="D94" s="218">
        <f>IF(D11="","",D11)</f>
        <v>2018</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row>
    <row r="95" spans="1:16">
      <c r="C95" s="139" t="s">
        <v>54</v>
      </c>
      <c r="D95" s="218">
        <f>IF(D12="","",D12)</f>
        <v>4</v>
      </c>
      <c r="E95" s="139" t="s">
        <v>55</v>
      </c>
      <c r="F95" s="137"/>
      <c r="G95" s="137"/>
      <c r="J95" s="143">
        <f>'OKT.WS.G.BPU.ATRR.True-up'!$F$81</f>
        <v>0.10556244909908279</v>
      </c>
      <c r="K95" s="144"/>
      <c r="L95" t="s">
        <v>86</v>
      </c>
      <c r="P95" s="4"/>
    </row>
    <row r="96" spans="1:16">
      <c r="C96" s="139" t="s">
        <v>57</v>
      </c>
      <c r="D96" s="141">
        <f>'OKT.WS.G.BPU.ATRR.True-up'!F$93</f>
        <v>36</v>
      </c>
      <c r="E96" s="139" t="s">
        <v>58</v>
      </c>
      <c r="F96" s="137"/>
      <c r="G96" s="137"/>
      <c r="J96" s="143">
        <f>IF(H88="",J95,'OKT.WS.G.BPU.ATRR.True-up'!$F$80)</f>
        <v>0.10556244909908279</v>
      </c>
      <c r="K96" s="60"/>
      <c r="L96" s="112" t="s">
        <v>59</v>
      </c>
      <c r="M96" s="60"/>
      <c r="N96" s="60"/>
      <c r="O96" s="60"/>
      <c r="P96" s="4"/>
    </row>
    <row r="97" spans="1:16" ht="13.5" thickBot="1">
      <c r="C97" s="139" t="s">
        <v>60</v>
      </c>
      <c r="D97" s="219" t="str">
        <f>+D14</f>
        <v>No</v>
      </c>
      <c r="E97" s="202" t="s">
        <v>62</v>
      </c>
      <c r="F97" s="208"/>
      <c r="G97" s="208"/>
      <c r="H97" s="209"/>
      <c r="I97" s="209"/>
      <c r="J97" s="127">
        <f>IF(D93=0,0,D93/D96)</f>
        <v>0</v>
      </c>
      <c r="K97" s="112"/>
      <c r="L97" s="112"/>
      <c r="M97" s="112"/>
      <c r="N97" s="112"/>
      <c r="O97" s="112"/>
      <c r="P97" s="4"/>
    </row>
    <row r="98" spans="1:16" ht="38.25">
      <c r="A98" s="6"/>
      <c r="B98" s="6"/>
      <c r="C98" s="210" t="s">
        <v>49</v>
      </c>
      <c r="D98" s="339" t="s">
        <v>193</v>
      </c>
      <c r="E98" s="149" t="s">
        <v>63</v>
      </c>
      <c r="F98" s="149" t="s">
        <v>64</v>
      </c>
      <c r="G98" s="147" t="s">
        <v>87</v>
      </c>
      <c r="H98" s="448" t="s">
        <v>251</v>
      </c>
      <c r="I98" s="449" t="s">
        <v>252</v>
      </c>
      <c r="J98" s="210" t="s">
        <v>88</v>
      </c>
      <c r="K98" s="211"/>
      <c r="L98" s="149" t="s">
        <v>91</v>
      </c>
      <c r="M98" s="149" t="s">
        <v>89</v>
      </c>
      <c r="N98" s="149" t="s">
        <v>91</v>
      </c>
      <c r="O98" s="149" t="s">
        <v>89</v>
      </c>
      <c r="P98" s="149" t="s">
        <v>67</v>
      </c>
    </row>
    <row r="99" spans="1:16" ht="13.5" thickBot="1">
      <c r="C99" s="150" t="s">
        <v>68</v>
      </c>
      <c r="D99" s="212" t="s">
        <v>69</v>
      </c>
      <c r="E99" s="150" t="s">
        <v>70</v>
      </c>
      <c r="F99" s="150" t="s">
        <v>69</v>
      </c>
      <c r="G99" s="150" t="s">
        <v>69</v>
      </c>
      <c r="H99" s="321" t="s">
        <v>71</v>
      </c>
      <c r="I99" s="151" t="s">
        <v>72</v>
      </c>
      <c r="J99" s="152" t="s">
        <v>93</v>
      </c>
      <c r="K99" s="153"/>
      <c r="L99" s="154" t="s">
        <v>74</v>
      </c>
      <c r="M99" s="154" t="s">
        <v>74</v>
      </c>
      <c r="N99" s="154" t="s">
        <v>94</v>
      </c>
      <c r="O99" s="154" t="s">
        <v>94</v>
      </c>
      <c r="P99" s="154" t="s">
        <v>94</v>
      </c>
    </row>
    <row r="100" spans="1:16">
      <c r="B100" t="str">
        <f t="shared" ref="B100:B155" si="15">IF(D100=F99,"","IU")</f>
        <v>IU</v>
      </c>
      <c r="C100" s="155">
        <f>IF(D94= "","-",D94)</f>
        <v>2018</v>
      </c>
      <c r="D100" s="156">
        <f>IF(D94=C100,0,IF(D93&lt;100000,0,D93))</f>
        <v>0</v>
      </c>
      <c r="E100" s="163">
        <f>IF(D93&lt;100000,0,J$97/12*(12-D95))</f>
        <v>0</v>
      </c>
      <c r="F100" s="161">
        <f>IF(D94=C100,+D93-E100,+D100-E100)</f>
        <v>0</v>
      </c>
      <c r="G100" s="213">
        <f>+(F100+D100)/2</f>
        <v>0</v>
      </c>
      <c r="H100" s="213">
        <f t="shared" ref="H100:H155" si="16">+J$95*G100+E100</f>
        <v>0</v>
      </c>
      <c r="I100" s="213">
        <f>+J$96*G100+E100</f>
        <v>0</v>
      </c>
      <c r="J100" s="160">
        <f t="shared" ref="J100:J131" si="17">+I100-H100</f>
        <v>0</v>
      </c>
      <c r="K100" s="160"/>
      <c r="L100" s="315"/>
      <c r="M100" s="159">
        <f t="shared" ref="M100:M131" si="18">IF(L100&lt;&gt;0,+H100-L100,0)</f>
        <v>0</v>
      </c>
      <c r="N100" s="315"/>
      <c r="O100" s="159">
        <f t="shared" ref="O100:O131" si="19">IF(N100&lt;&gt;0,+I100-N100,0)</f>
        <v>0</v>
      </c>
      <c r="P100" s="159">
        <f t="shared" ref="P100:P131" si="20">+O100-M100</f>
        <v>0</v>
      </c>
    </row>
    <row r="101" spans="1:16">
      <c r="B101" t="str">
        <f t="shared" si="15"/>
        <v/>
      </c>
      <c r="C101" s="155">
        <f>IF(D94="","-",+C100+1)</f>
        <v>2019</v>
      </c>
      <c r="D101" s="156">
        <f>IF(F100+SUM(E$100:E100)=D$93,F100,D$93-SUM(E$100:E100))</f>
        <v>0</v>
      </c>
      <c r="E101" s="162">
        <f t="shared" ref="E101:E132" si="21">IF(+J$97&lt;F100,J$97,D101)</f>
        <v>0</v>
      </c>
      <c r="F101" s="161">
        <f t="shared" ref="F101:F131" si="22">+D101-E101</f>
        <v>0</v>
      </c>
      <c r="G101" s="161">
        <f t="shared" ref="G101:G131" si="23">+(F101+D101)/2</f>
        <v>0</v>
      </c>
      <c r="H101" s="314">
        <f t="shared" si="16"/>
        <v>0</v>
      </c>
      <c r="I101" s="323">
        <f t="shared" ref="I101:I155" si="24">+J$96*G101+E101</f>
        <v>0</v>
      </c>
      <c r="J101" s="160">
        <f t="shared" si="17"/>
        <v>0</v>
      </c>
      <c r="K101" s="160"/>
      <c r="L101" s="316"/>
      <c r="M101" s="160">
        <f t="shared" si="18"/>
        <v>0</v>
      </c>
      <c r="N101" s="316"/>
      <c r="O101" s="160">
        <f t="shared" si="19"/>
        <v>0</v>
      </c>
      <c r="P101" s="160">
        <f t="shared" si="20"/>
        <v>0</v>
      </c>
    </row>
    <row r="102" spans="1:16">
      <c r="B102" t="str">
        <f t="shared" si="15"/>
        <v/>
      </c>
      <c r="C102" s="155">
        <f>IF(D94="","-",+C101+1)</f>
        <v>2020</v>
      </c>
      <c r="D102" s="156">
        <f>IF(F101+SUM(E$100:E101)=D$93,F101,D$93-SUM(E$100:E101))</f>
        <v>0</v>
      </c>
      <c r="E102" s="162">
        <f t="shared" si="21"/>
        <v>0</v>
      </c>
      <c r="F102" s="161">
        <f t="shared" si="22"/>
        <v>0</v>
      </c>
      <c r="G102" s="161">
        <f t="shared" si="23"/>
        <v>0</v>
      </c>
      <c r="H102" s="314">
        <f t="shared" si="16"/>
        <v>0</v>
      </c>
      <c r="I102" s="323">
        <f t="shared" si="24"/>
        <v>0</v>
      </c>
      <c r="J102" s="160">
        <f t="shared" si="17"/>
        <v>0</v>
      </c>
      <c r="K102" s="160"/>
      <c r="L102" s="316"/>
      <c r="M102" s="160">
        <f t="shared" si="18"/>
        <v>0</v>
      </c>
      <c r="N102" s="316"/>
      <c r="O102" s="160">
        <f t="shared" si="19"/>
        <v>0</v>
      </c>
      <c r="P102" s="160">
        <f t="shared" si="20"/>
        <v>0</v>
      </c>
    </row>
    <row r="103" spans="1:16">
      <c r="B103" t="str">
        <f t="shared" si="15"/>
        <v/>
      </c>
      <c r="C103" s="155">
        <f>IF(D94="","-",+C102+1)</f>
        <v>2021</v>
      </c>
      <c r="D103" s="156">
        <f>IF(F102+SUM(E$100:E102)=D$93,F102,D$93-SUM(E$100:E102))</f>
        <v>0</v>
      </c>
      <c r="E103" s="162">
        <f t="shared" si="21"/>
        <v>0</v>
      </c>
      <c r="F103" s="161">
        <f t="shared" si="22"/>
        <v>0</v>
      </c>
      <c r="G103" s="161">
        <f t="shared" si="23"/>
        <v>0</v>
      </c>
      <c r="H103" s="314">
        <f t="shared" si="16"/>
        <v>0</v>
      </c>
      <c r="I103" s="323">
        <f t="shared" si="24"/>
        <v>0</v>
      </c>
      <c r="J103" s="160">
        <f t="shared" si="17"/>
        <v>0</v>
      </c>
      <c r="K103" s="160"/>
      <c r="L103" s="316"/>
      <c r="M103" s="160">
        <f t="shared" si="18"/>
        <v>0</v>
      </c>
      <c r="N103" s="316"/>
      <c r="O103" s="160">
        <f t="shared" si="19"/>
        <v>0</v>
      </c>
      <c r="P103" s="160">
        <f t="shared" si="20"/>
        <v>0</v>
      </c>
    </row>
    <row r="104" spans="1:16">
      <c r="B104" t="str">
        <f t="shared" si="15"/>
        <v/>
      </c>
      <c r="C104" s="155">
        <f>IF(D94="","-",+C103+1)</f>
        <v>2022</v>
      </c>
      <c r="D104" s="156">
        <f>IF(F103+SUM(E$100:E103)=D$93,F103,D$93-SUM(E$100:E103))</f>
        <v>0</v>
      </c>
      <c r="E104" s="162">
        <f t="shared" si="21"/>
        <v>0</v>
      </c>
      <c r="F104" s="161">
        <f t="shared" si="22"/>
        <v>0</v>
      </c>
      <c r="G104" s="161">
        <f t="shared" si="23"/>
        <v>0</v>
      </c>
      <c r="H104" s="314">
        <f t="shared" si="16"/>
        <v>0</v>
      </c>
      <c r="I104" s="323">
        <f t="shared" si="24"/>
        <v>0</v>
      </c>
      <c r="J104" s="160">
        <f t="shared" si="17"/>
        <v>0</v>
      </c>
      <c r="K104" s="160"/>
      <c r="L104" s="316"/>
      <c r="M104" s="160">
        <f t="shared" si="18"/>
        <v>0</v>
      </c>
      <c r="N104" s="316"/>
      <c r="O104" s="160">
        <f t="shared" si="19"/>
        <v>0</v>
      </c>
      <c r="P104" s="160">
        <f t="shared" si="20"/>
        <v>0</v>
      </c>
    </row>
    <row r="105" spans="1:16">
      <c r="B105" t="str">
        <f t="shared" si="15"/>
        <v/>
      </c>
      <c r="C105" s="155">
        <f>IF(D94="","-",+C104+1)</f>
        <v>2023</v>
      </c>
      <c r="D105" s="156">
        <f>IF(F104+SUM(E$100:E104)=D$93,F104,D$93-SUM(E$100:E104))</f>
        <v>0</v>
      </c>
      <c r="E105" s="162">
        <f t="shared" si="21"/>
        <v>0</v>
      </c>
      <c r="F105" s="161">
        <f t="shared" si="22"/>
        <v>0</v>
      </c>
      <c r="G105" s="161">
        <f t="shared" si="23"/>
        <v>0</v>
      </c>
      <c r="H105" s="314">
        <f t="shared" si="16"/>
        <v>0</v>
      </c>
      <c r="I105" s="323">
        <f t="shared" si="24"/>
        <v>0</v>
      </c>
      <c r="J105" s="160">
        <f t="shared" si="17"/>
        <v>0</v>
      </c>
      <c r="K105" s="160"/>
      <c r="L105" s="316"/>
      <c r="M105" s="160">
        <f t="shared" si="18"/>
        <v>0</v>
      </c>
      <c r="N105" s="316"/>
      <c r="O105" s="160">
        <f t="shared" si="19"/>
        <v>0</v>
      </c>
      <c r="P105" s="160">
        <f t="shared" si="20"/>
        <v>0</v>
      </c>
    </row>
    <row r="106" spans="1:16">
      <c r="B106" t="str">
        <f t="shared" si="15"/>
        <v/>
      </c>
      <c r="C106" s="155">
        <f>IF(D94="","-",+C105+1)</f>
        <v>2024</v>
      </c>
      <c r="D106" s="156">
        <f>IF(F105+SUM(E$100:E105)=D$93,F105,D$93-SUM(E$100:E105))</f>
        <v>0</v>
      </c>
      <c r="E106" s="162">
        <f t="shared" si="21"/>
        <v>0</v>
      </c>
      <c r="F106" s="161">
        <f t="shared" si="22"/>
        <v>0</v>
      </c>
      <c r="G106" s="161">
        <f t="shared" si="23"/>
        <v>0</v>
      </c>
      <c r="H106" s="314">
        <f t="shared" si="16"/>
        <v>0</v>
      </c>
      <c r="I106" s="323">
        <f t="shared" si="24"/>
        <v>0</v>
      </c>
      <c r="J106" s="160">
        <f t="shared" si="17"/>
        <v>0</v>
      </c>
      <c r="K106" s="160"/>
      <c r="L106" s="316"/>
      <c r="M106" s="160">
        <f t="shared" si="18"/>
        <v>0</v>
      </c>
      <c r="N106" s="316"/>
      <c r="O106" s="160">
        <f t="shared" si="19"/>
        <v>0</v>
      </c>
      <c r="P106" s="160">
        <f t="shared" si="20"/>
        <v>0</v>
      </c>
    </row>
    <row r="107" spans="1:16">
      <c r="B107" t="str">
        <f t="shared" si="15"/>
        <v/>
      </c>
      <c r="C107" s="155">
        <f>IF(D94="","-",+C106+1)</f>
        <v>2025</v>
      </c>
      <c r="D107" s="156">
        <f>IF(F106+SUM(E$100:E106)=D$93,F106,D$93-SUM(E$100:E106))</f>
        <v>0</v>
      </c>
      <c r="E107" s="162">
        <f t="shared" si="21"/>
        <v>0</v>
      </c>
      <c r="F107" s="161">
        <f t="shared" si="22"/>
        <v>0</v>
      </c>
      <c r="G107" s="161">
        <f t="shared" si="23"/>
        <v>0</v>
      </c>
      <c r="H107" s="314">
        <f t="shared" si="16"/>
        <v>0</v>
      </c>
      <c r="I107" s="323">
        <f t="shared" si="24"/>
        <v>0</v>
      </c>
      <c r="J107" s="160">
        <f t="shared" si="17"/>
        <v>0</v>
      </c>
      <c r="K107" s="160"/>
      <c r="L107" s="316"/>
      <c r="M107" s="160">
        <f t="shared" si="18"/>
        <v>0</v>
      </c>
      <c r="N107" s="316"/>
      <c r="O107" s="160">
        <f t="shared" si="19"/>
        <v>0</v>
      </c>
      <c r="P107" s="160">
        <f t="shared" si="20"/>
        <v>0</v>
      </c>
    </row>
    <row r="108" spans="1:16">
      <c r="B108" t="str">
        <f t="shared" si="15"/>
        <v/>
      </c>
      <c r="C108" s="155">
        <f>IF(D94="","-",+C107+1)</f>
        <v>2026</v>
      </c>
      <c r="D108" s="156">
        <f>IF(F107+SUM(E$100:E107)=D$93,F107,D$93-SUM(E$100:E107))</f>
        <v>0</v>
      </c>
      <c r="E108" s="162">
        <f t="shared" si="21"/>
        <v>0</v>
      </c>
      <c r="F108" s="161">
        <f t="shared" si="22"/>
        <v>0</v>
      </c>
      <c r="G108" s="161">
        <f t="shared" si="23"/>
        <v>0</v>
      </c>
      <c r="H108" s="314">
        <f t="shared" si="16"/>
        <v>0</v>
      </c>
      <c r="I108" s="323">
        <f t="shared" si="24"/>
        <v>0</v>
      </c>
      <c r="J108" s="160">
        <f t="shared" si="17"/>
        <v>0</v>
      </c>
      <c r="K108" s="160"/>
      <c r="L108" s="316"/>
      <c r="M108" s="160">
        <f t="shared" si="18"/>
        <v>0</v>
      </c>
      <c r="N108" s="316"/>
      <c r="O108" s="160">
        <f t="shared" si="19"/>
        <v>0</v>
      </c>
      <c r="P108" s="160">
        <f t="shared" si="20"/>
        <v>0</v>
      </c>
    </row>
    <row r="109" spans="1:16">
      <c r="B109" t="str">
        <f t="shared" si="15"/>
        <v/>
      </c>
      <c r="C109" s="155">
        <f>IF(D94="","-",+C108+1)</f>
        <v>2027</v>
      </c>
      <c r="D109" s="156">
        <f>IF(F108+SUM(E$100:E108)=D$93,F108,D$93-SUM(E$100:E108))</f>
        <v>0</v>
      </c>
      <c r="E109" s="162">
        <f t="shared" si="21"/>
        <v>0</v>
      </c>
      <c r="F109" s="161">
        <f t="shared" si="22"/>
        <v>0</v>
      </c>
      <c r="G109" s="161">
        <f t="shared" si="23"/>
        <v>0</v>
      </c>
      <c r="H109" s="314">
        <f t="shared" si="16"/>
        <v>0</v>
      </c>
      <c r="I109" s="323">
        <f t="shared" si="24"/>
        <v>0</v>
      </c>
      <c r="J109" s="160">
        <f t="shared" si="17"/>
        <v>0</v>
      </c>
      <c r="K109" s="160"/>
      <c r="L109" s="316"/>
      <c r="M109" s="160">
        <f t="shared" si="18"/>
        <v>0</v>
      </c>
      <c r="N109" s="316"/>
      <c r="O109" s="160">
        <f t="shared" si="19"/>
        <v>0</v>
      </c>
      <c r="P109" s="160">
        <f t="shared" si="20"/>
        <v>0</v>
      </c>
    </row>
    <row r="110" spans="1:16">
      <c r="B110" t="str">
        <f t="shared" si="15"/>
        <v/>
      </c>
      <c r="C110" s="155">
        <f>IF(D94="","-",+C109+1)</f>
        <v>2028</v>
      </c>
      <c r="D110" s="156">
        <f>IF(F109+SUM(E$100:E109)=D$93,F109,D$93-SUM(E$100:E109))</f>
        <v>0</v>
      </c>
      <c r="E110" s="162">
        <f t="shared" si="21"/>
        <v>0</v>
      </c>
      <c r="F110" s="161">
        <f t="shared" si="22"/>
        <v>0</v>
      </c>
      <c r="G110" s="161">
        <f t="shared" si="23"/>
        <v>0</v>
      </c>
      <c r="H110" s="314">
        <f t="shared" si="16"/>
        <v>0</v>
      </c>
      <c r="I110" s="323">
        <f t="shared" si="24"/>
        <v>0</v>
      </c>
      <c r="J110" s="160">
        <f t="shared" si="17"/>
        <v>0</v>
      </c>
      <c r="K110" s="160"/>
      <c r="L110" s="316"/>
      <c r="M110" s="160">
        <f t="shared" si="18"/>
        <v>0</v>
      </c>
      <c r="N110" s="316"/>
      <c r="O110" s="160">
        <f t="shared" si="19"/>
        <v>0</v>
      </c>
      <c r="P110" s="160">
        <f t="shared" si="20"/>
        <v>0</v>
      </c>
    </row>
    <row r="111" spans="1:16">
      <c r="B111" t="str">
        <f t="shared" si="15"/>
        <v/>
      </c>
      <c r="C111" s="155">
        <f>IF(D94="","-",+C110+1)</f>
        <v>2029</v>
      </c>
      <c r="D111" s="156">
        <f>IF(F110+SUM(E$100:E110)=D$93,F110,D$93-SUM(E$100:E110))</f>
        <v>0</v>
      </c>
      <c r="E111" s="162">
        <f t="shared" si="21"/>
        <v>0</v>
      </c>
      <c r="F111" s="161">
        <f t="shared" si="22"/>
        <v>0</v>
      </c>
      <c r="G111" s="161">
        <f t="shared" si="23"/>
        <v>0</v>
      </c>
      <c r="H111" s="314">
        <f t="shared" si="16"/>
        <v>0</v>
      </c>
      <c r="I111" s="323">
        <f t="shared" si="24"/>
        <v>0</v>
      </c>
      <c r="J111" s="160">
        <f t="shared" si="17"/>
        <v>0</v>
      </c>
      <c r="K111" s="160"/>
      <c r="L111" s="316"/>
      <c r="M111" s="160">
        <f t="shared" si="18"/>
        <v>0</v>
      </c>
      <c r="N111" s="316"/>
      <c r="O111" s="160">
        <f t="shared" si="19"/>
        <v>0</v>
      </c>
      <c r="P111" s="160">
        <f t="shared" si="20"/>
        <v>0</v>
      </c>
    </row>
    <row r="112" spans="1:16">
      <c r="B112" t="str">
        <f t="shared" si="15"/>
        <v/>
      </c>
      <c r="C112" s="155">
        <f>IF(D94="","-",+C111+1)</f>
        <v>2030</v>
      </c>
      <c r="D112" s="156">
        <f>IF(F111+SUM(E$100:E111)=D$93,F111,D$93-SUM(E$100:E111))</f>
        <v>0</v>
      </c>
      <c r="E112" s="162">
        <f t="shared" si="21"/>
        <v>0</v>
      </c>
      <c r="F112" s="161">
        <f t="shared" si="22"/>
        <v>0</v>
      </c>
      <c r="G112" s="161">
        <f t="shared" si="23"/>
        <v>0</v>
      </c>
      <c r="H112" s="314">
        <f t="shared" si="16"/>
        <v>0</v>
      </c>
      <c r="I112" s="323">
        <f t="shared" si="24"/>
        <v>0</v>
      </c>
      <c r="J112" s="160">
        <f t="shared" si="17"/>
        <v>0</v>
      </c>
      <c r="K112" s="160"/>
      <c r="L112" s="316"/>
      <c r="M112" s="160">
        <f t="shared" si="18"/>
        <v>0</v>
      </c>
      <c r="N112" s="316"/>
      <c r="O112" s="160">
        <f t="shared" si="19"/>
        <v>0</v>
      </c>
      <c r="P112" s="160">
        <f t="shared" si="20"/>
        <v>0</v>
      </c>
    </row>
    <row r="113" spans="2:16">
      <c r="B113" t="str">
        <f t="shared" si="15"/>
        <v/>
      </c>
      <c r="C113" s="155">
        <f>IF(D94="","-",+C112+1)</f>
        <v>2031</v>
      </c>
      <c r="D113" s="156">
        <f>IF(F112+SUM(E$100:E112)=D$93,F112,D$93-SUM(E$100:E112))</f>
        <v>0</v>
      </c>
      <c r="E113" s="162">
        <f t="shared" si="21"/>
        <v>0</v>
      </c>
      <c r="F113" s="161">
        <f t="shared" si="22"/>
        <v>0</v>
      </c>
      <c r="G113" s="161">
        <f t="shared" si="23"/>
        <v>0</v>
      </c>
      <c r="H113" s="314">
        <f t="shared" si="16"/>
        <v>0</v>
      </c>
      <c r="I113" s="323">
        <f t="shared" si="24"/>
        <v>0</v>
      </c>
      <c r="J113" s="160">
        <f t="shared" si="17"/>
        <v>0</v>
      </c>
      <c r="K113" s="160"/>
      <c r="L113" s="316"/>
      <c r="M113" s="160">
        <f t="shared" si="18"/>
        <v>0</v>
      </c>
      <c r="N113" s="316"/>
      <c r="O113" s="160">
        <f t="shared" si="19"/>
        <v>0</v>
      </c>
      <c r="P113" s="160">
        <f t="shared" si="20"/>
        <v>0</v>
      </c>
    </row>
    <row r="114" spans="2:16">
      <c r="B114" t="str">
        <f t="shared" si="15"/>
        <v/>
      </c>
      <c r="C114" s="155">
        <f>IF(D94="","-",+C113+1)</f>
        <v>2032</v>
      </c>
      <c r="D114" s="156">
        <f>IF(F113+SUM(E$100:E113)=D$93,F113,D$93-SUM(E$100:E113))</f>
        <v>0</v>
      </c>
      <c r="E114" s="162">
        <f t="shared" si="21"/>
        <v>0</v>
      </c>
      <c r="F114" s="161">
        <f t="shared" si="22"/>
        <v>0</v>
      </c>
      <c r="G114" s="161">
        <f t="shared" si="23"/>
        <v>0</v>
      </c>
      <c r="H114" s="314">
        <f t="shared" si="16"/>
        <v>0</v>
      </c>
      <c r="I114" s="323">
        <f t="shared" si="24"/>
        <v>0</v>
      </c>
      <c r="J114" s="160">
        <f t="shared" si="17"/>
        <v>0</v>
      </c>
      <c r="K114" s="160"/>
      <c r="L114" s="316"/>
      <c r="M114" s="160">
        <f t="shared" si="18"/>
        <v>0</v>
      </c>
      <c r="N114" s="316"/>
      <c r="O114" s="160">
        <f t="shared" si="19"/>
        <v>0</v>
      </c>
      <c r="P114" s="160">
        <f t="shared" si="20"/>
        <v>0</v>
      </c>
    </row>
    <row r="115" spans="2:16">
      <c r="B115" t="str">
        <f t="shared" si="15"/>
        <v/>
      </c>
      <c r="C115" s="155">
        <f>IF(D94="","-",+C114+1)</f>
        <v>2033</v>
      </c>
      <c r="D115" s="156">
        <f>IF(F114+SUM(E$100:E114)=D$93,F114,D$93-SUM(E$100:E114))</f>
        <v>0</v>
      </c>
      <c r="E115" s="162">
        <f t="shared" si="21"/>
        <v>0</v>
      </c>
      <c r="F115" s="161">
        <f t="shared" si="22"/>
        <v>0</v>
      </c>
      <c r="G115" s="161">
        <f t="shared" si="23"/>
        <v>0</v>
      </c>
      <c r="H115" s="314">
        <f t="shared" si="16"/>
        <v>0</v>
      </c>
      <c r="I115" s="323">
        <f t="shared" si="24"/>
        <v>0</v>
      </c>
      <c r="J115" s="160">
        <f t="shared" si="17"/>
        <v>0</v>
      </c>
      <c r="K115" s="160"/>
      <c r="L115" s="316"/>
      <c r="M115" s="160">
        <f t="shared" si="18"/>
        <v>0</v>
      </c>
      <c r="N115" s="316"/>
      <c r="O115" s="160">
        <f t="shared" si="19"/>
        <v>0</v>
      </c>
      <c r="P115" s="160">
        <f t="shared" si="20"/>
        <v>0</v>
      </c>
    </row>
    <row r="116" spans="2:16">
      <c r="B116" t="str">
        <f t="shared" si="15"/>
        <v/>
      </c>
      <c r="C116" s="155">
        <f>IF(D94="","-",+C115+1)</f>
        <v>2034</v>
      </c>
      <c r="D116" s="156">
        <f>IF(F115+SUM(E$100:E115)=D$93,F115,D$93-SUM(E$100:E115))</f>
        <v>0</v>
      </c>
      <c r="E116" s="162">
        <f t="shared" si="21"/>
        <v>0</v>
      </c>
      <c r="F116" s="161">
        <f t="shared" si="22"/>
        <v>0</v>
      </c>
      <c r="G116" s="161">
        <f t="shared" si="23"/>
        <v>0</v>
      </c>
      <c r="H116" s="314">
        <f t="shared" si="16"/>
        <v>0</v>
      </c>
      <c r="I116" s="323">
        <f t="shared" si="24"/>
        <v>0</v>
      </c>
      <c r="J116" s="160">
        <f t="shared" si="17"/>
        <v>0</v>
      </c>
      <c r="K116" s="160"/>
      <c r="L116" s="316"/>
      <c r="M116" s="160">
        <f t="shared" si="18"/>
        <v>0</v>
      </c>
      <c r="N116" s="316"/>
      <c r="O116" s="160">
        <f t="shared" si="19"/>
        <v>0</v>
      </c>
      <c r="P116" s="160">
        <f t="shared" si="20"/>
        <v>0</v>
      </c>
    </row>
    <row r="117" spans="2:16">
      <c r="B117" t="str">
        <f t="shared" si="15"/>
        <v/>
      </c>
      <c r="C117" s="155">
        <f>IF(D94="","-",+C116+1)</f>
        <v>2035</v>
      </c>
      <c r="D117" s="156">
        <f>IF(F116+SUM(E$100:E116)=D$93,F116,D$93-SUM(E$100:E116))</f>
        <v>0</v>
      </c>
      <c r="E117" s="162">
        <f t="shared" si="21"/>
        <v>0</v>
      </c>
      <c r="F117" s="161">
        <f t="shared" si="22"/>
        <v>0</v>
      </c>
      <c r="G117" s="161">
        <f t="shared" si="23"/>
        <v>0</v>
      </c>
      <c r="H117" s="314">
        <f t="shared" si="16"/>
        <v>0</v>
      </c>
      <c r="I117" s="323">
        <f t="shared" si="24"/>
        <v>0</v>
      </c>
      <c r="J117" s="160">
        <f t="shared" si="17"/>
        <v>0</v>
      </c>
      <c r="K117" s="160"/>
      <c r="L117" s="316"/>
      <c r="M117" s="160">
        <f t="shared" si="18"/>
        <v>0</v>
      </c>
      <c r="N117" s="316"/>
      <c r="O117" s="160">
        <f t="shared" si="19"/>
        <v>0</v>
      </c>
      <c r="P117" s="160">
        <f t="shared" si="20"/>
        <v>0</v>
      </c>
    </row>
    <row r="118" spans="2:16">
      <c r="B118" t="str">
        <f t="shared" si="15"/>
        <v/>
      </c>
      <c r="C118" s="155">
        <f>IF(D94="","-",+C117+1)</f>
        <v>2036</v>
      </c>
      <c r="D118" s="156">
        <f>IF(F117+SUM(E$100:E117)=D$93,F117,D$93-SUM(E$100:E117))</f>
        <v>0</v>
      </c>
      <c r="E118" s="162">
        <f t="shared" si="21"/>
        <v>0</v>
      </c>
      <c r="F118" s="161">
        <f t="shared" si="22"/>
        <v>0</v>
      </c>
      <c r="G118" s="161">
        <f t="shared" si="23"/>
        <v>0</v>
      </c>
      <c r="H118" s="314">
        <f t="shared" si="16"/>
        <v>0</v>
      </c>
      <c r="I118" s="323">
        <f t="shared" si="24"/>
        <v>0</v>
      </c>
      <c r="J118" s="160">
        <f t="shared" si="17"/>
        <v>0</v>
      </c>
      <c r="K118" s="160"/>
      <c r="L118" s="316"/>
      <c r="M118" s="160">
        <f t="shared" si="18"/>
        <v>0</v>
      </c>
      <c r="N118" s="316"/>
      <c r="O118" s="160">
        <f t="shared" si="19"/>
        <v>0</v>
      </c>
      <c r="P118" s="160">
        <f t="shared" si="20"/>
        <v>0</v>
      </c>
    </row>
    <row r="119" spans="2:16">
      <c r="B119" t="str">
        <f t="shared" si="15"/>
        <v/>
      </c>
      <c r="C119" s="155">
        <f>IF(D94="","-",+C118+1)</f>
        <v>2037</v>
      </c>
      <c r="D119" s="156">
        <f>IF(F118+SUM(E$100:E118)=D$93,F118,D$93-SUM(E$100:E118))</f>
        <v>0</v>
      </c>
      <c r="E119" s="162">
        <f t="shared" si="21"/>
        <v>0</v>
      </c>
      <c r="F119" s="161">
        <f t="shared" si="22"/>
        <v>0</v>
      </c>
      <c r="G119" s="161">
        <f t="shared" si="23"/>
        <v>0</v>
      </c>
      <c r="H119" s="314">
        <f t="shared" si="16"/>
        <v>0</v>
      </c>
      <c r="I119" s="323">
        <f t="shared" si="24"/>
        <v>0</v>
      </c>
      <c r="J119" s="160">
        <f t="shared" si="17"/>
        <v>0</v>
      </c>
      <c r="K119" s="160"/>
      <c r="L119" s="316"/>
      <c r="M119" s="160">
        <f t="shared" si="18"/>
        <v>0</v>
      </c>
      <c r="N119" s="316"/>
      <c r="O119" s="160">
        <f t="shared" si="19"/>
        <v>0</v>
      </c>
      <c r="P119" s="160">
        <f t="shared" si="20"/>
        <v>0</v>
      </c>
    </row>
    <row r="120" spans="2:16">
      <c r="B120" t="str">
        <f t="shared" si="15"/>
        <v/>
      </c>
      <c r="C120" s="155">
        <f>IF(D94="","-",+C119+1)</f>
        <v>2038</v>
      </c>
      <c r="D120" s="156">
        <f>IF(F119+SUM(E$100:E119)=D$93,F119,D$93-SUM(E$100:E119))</f>
        <v>0</v>
      </c>
      <c r="E120" s="162">
        <f t="shared" si="21"/>
        <v>0</v>
      </c>
      <c r="F120" s="161">
        <f t="shared" si="22"/>
        <v>0</v>
      </c>
      <c r="G120" s="161">
        <f t="shared" si="23"/>
        <v>0</v>
      </c>
      <c r="H120" s="314">
        <f t="shared" si="16"/>
        <v>0</v>
      </c>
      <c r="I120" s="323">
        <f t="shared" si="24"/>
        <v>0</v>
      </c>
      <c r="J120" s="160">
        <f t="shared" si="17"/>
        <v>0</v>
      </c>
      <c r="K120" s="160"/>
      <c r="L120" s="316"/>
      <c r="M120" s="160">
        <f t="shared" si="18"/>
        <v>0</v>
      </c>
      <c r="N120" s="316"/>
      <c r="O120" s="160">
        <f t="shared" si="19"/>
        <v>0</v>
      </c>
      <c r="P120" s="160">
        <f t="shared" si="20"/>
        <v>0</v>
      </c>
    </row>
    <row r="121" spans="2:16">
      <c r="B121" t="str">
        <f t="shared" si="15"/>
        <v/>
      </c>
      <c r="C121" s="155">
        <f>IF(D94="","-",+C120+1)</f>
        <v>2039</v>
      </c>
      <c r="D121" s="156">
        <f>IF(F120+SUM(E$100:E120)=D$93,F120,D$93-SUM(E$100:E120))</f>
        <v>0</v>
      </c>
      <c r="E121" s="162">
        <f t="shared" si="21"/>
        <v>0</v>
      </c>
      <c r="F121" s="161">
        <f t="shared" si="22"/>
        <v>0</v>
      </c>
      <c r="G121" s="161">
        <f t="shared" si="23"/>
        <v>0</v>
      </c>
      <c r="H121" s="314">
        <f t="shared" si="16"/>
        <v>0</v>
      </c>
      <c r="I121" s="323">
        <f t="shared" si="24"/>
        <v>0</v>
      </c>
      <c r="J121" s="160">
        <f t="shared" si="17"/>
        <v>0</v>
      </c>
      <c r="K121" s="160"/>
      <c r="L121" s="316"/>
      <c r="M121" s="160">
        <f t="shared" si="18"/>
        <v>0</v>
      </c>
      <c r="N121" s="316"/>
      <c r="O121" s="160">
        <f t="shared" si="19"/>
        <v>0</v>
      </c>
      <c r="P121" s="160">
        <f t="shared" si="20"/>
        <v>0</v>
      </c>
    </row>
    <row r="122" spans="2:16">
      <c r="B122" t="str">
        <f t="shared" si="15"/>
        <v/>
      </c>
      <c r="C122" s="155">
        <f>IF(D94="","-",+C121+1)</f>
        <v>2040</v>
      </c>
      <c r="D122" s="156">
        <f>IF(F121+SUM(E$100:E121)=D$93,F121,D$93-SUM(E$100:E121))</f>
        <v>0</v>
      </c>
      <c r="E122" s="162">
        <f t="shared" si="21"/>
        <v>0</v>
      </c>
      <c r="F122" s="161">
        <f t="shared" si="22"/>
        <v>0</v>
      </c>
      <c r="G122" s="161">
        <f t="shared" si="23"/>
        <v>0</v>
      </c>
      <c r="H122" s="314">
        <f t="shared" si="16"/>
        <v>0</v>
      </c>
      <c r="I122" s="323">
        <f t="shared" si="24"/>
        <v>0</v>
      </c>
      <c r="J122" s="160">
        <f t="shared" si="17"/>
        <v>0</v>
      </c>
      <c r="K122" s="160"/>
      <c r="L122" s="316"/>
      <c r="M122" s="160">
        <f t="shared" si="18"/>
        <v>0</v>
      </c>
      <c r="N122" s="316"/>
      <c r="O122" s="160">
        <f t="shared" si="19"/>
        <v>0</v>
      </c>
      <c r="P122" s="160">
        <f t="shared" si="20"/>
        <v>0</v>
      </c>
    </row>
    <row r="123" spans="2:16">
      <c r="B123" t="str">
        <f t="shared" si="15"/>
        <v/>
      </c>
      <c r="C123" s="155">
        <f>IF(D94="","-",+C122+1)</f>
        <v>2041</v>
      </c>
      <c r="D123" s="156">
        <f>IF(F122+SUM(E$100:E122)=D$93,F122,D$93-SUM(E$100:E122))</f>
        <v>0</v>
      </c>
      <c r="E123" s="162">
        <f t="shared" si="21"/>
        <v>0</v>
      </c>
      <c r="F123" s="161">
        <f t="shared" si="22"/>
        <v>0</v>
      </c>
      <c r="G123" s="161">
        <f t="shared" si="23"/>
        <v>0</v>
      </c>
      <c r="H123" s="314">
        <f t="shared" si="16"/>
        <v>0</v>
      </c>
      <c r="I123" s="323">
        <f t="shared" si="24"/>
        <v>0</v>
      </c>
      <c r="J123" s="160">
        <f t="shared" si="17"/>
        <v>0</v>
      </c>
      <c r="K123" s="160"/>
      <c r="L123" s="316"/>
      <c r="M123" s="160">
        <f t="shared" si="18"/>
        <v>0</v>
      </c>
      <c r="N123" s="316"/>
      <c r="O123" s="160">
        <f t="shared" si="19"/>
        <v>0</v>
      </c>
      <c r="P123" s="160">
        <f t="shared" si="20"/>
        <v>0</v>
      </c>
    </row>
    <row r="124" spans="2:16">
      <c r="B124" t="str">
        <f t="shared" si="15"/>
        <v/>
      </c>
      <c r="C124" s="155">
        <f>IF(D94="","-",+C123+1)</f>
        <v>2042</v>
      </c>
      <c r="D124" s="156">
        <f>IF(F123+SUM(E$100:E123)=D$93,F123,D$93-SUM(E$100:E123))</f>
        <v>0</v>
      </c>
      <c r="E124" s="162">
        <f t="shared" si="21"/>
        <v>0</v>
      </c>
      <c r="F124" s="161">
        <f t="shared" si="22"/>
        <v>0</v>
      </c>
      <c r="G124" s="161">
        <f t="shared" si="23"/>
        <v>0</v>
      </c>
      <c r="H124" s="314">
        <f t="shared" si="16"/>
        <v>0</v>
      </c>
      <c r="I124" s="323">
        <f t="shared" si="24"/>
        <v>0</v>
      </c>
      <c r="J124" s="160">
        <f t="shared" si="17"/>
        <v>0</v>
      </c>
      <c r="K124" s="160"/>
      <c r="L124" s="316"/>
      <c r="M124" s="160">
        <f t="shared" si="18"/>
        <v>0</v>
      </c>
      <c r="N124" s="316"/>
      <c r="O124" s="160">
        <f t="shared" si="19"/>
        <v>0</v>
      </c>
      <c r="P124" s="160">
        <f t="shared" si="20"/>
        <v>0</v>
      </c>
    </row>
    <row r="125" spans="2:16">
      <c r="B125" t="str">
        <f t="shared" si="15"/>
        <v/>
      </c>
      <c r="C125" s="155">
        <f>IF(D94="","-",+C124+1)</f>
        <v>2043</v>
      </c>
      <c r="D125" s="156">
        <f>IF(F124+SUM(E$100:E124)=D$93,F124,D$93-SUM(E$100:E124))</f>
        <v>0</v>
      </c>
      <c r="E125" s="162">
        <f t="shared" si="21"/>
        <v>0</v>
      </c>
      <c r="F125" s="161">
        <f t="shared" si="22"/>
        <v>0</v>
      </c>
      <c r="G125" s="161">
        <f t="shared" si="23"/>
        <v>0</v>
      </c>
      <c r="H125" s="314">
        <f t="shared" si="16"/>
        <v>0</v>
      </c>
      <c r="I125" s="323">
        <f t="shared" si="24"/>
        <v>0</v>
      </c>
      <c r="J125" s="160">
        <f t="shared" si="17"/>
        <v>0</v>
      </c>
      <c r="K125" s="160"/>
      <c r="L125" s="316"/>
      <c r="M125" s="160">
        <f t="shared" si="18"/>
        <v>0</v>
      </c>
      <c r="N125" s="316"/>
      <c r="O125" s="160">
        <f t="shared" si="19"/>
        <v>0</v>
      </c>
      <c r="P125" s="160">
        <f t="shared" si="20"/>
        <v>0</v>
      </c>
    </row>
    <row r="126" spans="2:16">
      <c r="B126" t="str">
        <f t="shared" si="15"/>
        <v/>
      </c>
      <c r="C126" s="155">
        <f>IF(D94="","-",+C125+1)</f>
        <v>2044</v>
      </c>
      <c r="D126" s="156">
        <f>IF(F125+SUM(E$100:E125)=D$93,F125,D$93-SUM(E$100:E125))</f>
        <v>0</v>
      </c>
      <c r="E126" s="162">
        <f t="shared" si="21"/>
        <v>0</v>
      </c>
      <c r="F126" s="161">
        <f t="shared" si="22"/>
        <v>0</v>
      </c>
      <c r="G126" s="161">
        <f t="shared" si="23"/>
        <v>0</v>
      </c>
      <c r="H126" s="314">
        <f t="shared" si="16"/>
        <v>0</v>
      </c>
      <c r="I126" s="323">
        <f t="shared" si="24"/>
        <v>0</v>
      </c>
      <c r="J126" s="160">
        <f t="shared" si="17"/>
        <v>0</v>
      </c>
      <c r="K126" s="160"/>
      <c r="L126" s="316"/>
      <c r="M126" s="160">
        <f t="shared" si="18"/>
        <v>0</v>
      </c>
      <c r="N126" s="316"/>
      <c r="O126" s="160">
        <f t="shared" si="19"/>
        <v>0</v>
      </c>
      <c r="P126" s="160">
        <f t="shared" si="20"/>
        <v>0</v>
      </c>
    </row>
    <row r="127" spans="2:16">
      <c r="B127" t="str">
        <f t="shared" si="15"/>
        <v/>
      </c>
      <c r="C127" s="155">
        <f>IF(D94="","-",+C126+1)</f>
        <v>2045</v>
      </c>
      <c r="D127" s="156">
        <f>IF(F126+SUM(E$100:E126)=D$93,F126,D$93-SUM(E$100:E126))</f>
        <v>0</v>
      </c>
      <c r="E127" s="162">
        <f t="shared" si="21"/>
        <v>0</v>
      </c>
      <c r="F127" s="161">
        <f t="shared" si="22"/>
        <v>0</v>
      </c>
      <c r="G127" s="161">
        <f t="shared" si="23"/>
        <v>0</v>
      </c>
      <c r="H127" s="314">
        <f t="shared" si="16"/>
        <v>0</v>
      </c>
      <c r="I127" s="323">
        <f t="shared" si="24"/>
        <v>0</v>
      </c>
      <c r="J127" s="160">
        <f t="shared" si="17"/>
        <v>0</v>
      </c>
      <c r="K127" s="160"/>
      <c r="L127" s="316"/>
      <c r="M127" s="160">
        <f t="shared" si="18"/>
        <v>0</v>
      </c>
      <c r="N127" s="316"/>
      <c r="O127" s="160">
        <f t="shared" si="19"/>
        <v>0</v>
      </c>
      <c r="P127" s="160">
        <f t="shared" si="20"/>
        <v>0</v>
      </c>
    </row>
    <row r="128" spans="2:16">
      <c r="B128" t="str">
        <f t="shared" si="15"/>
        <v/>
      </c>
      <c r="C128" s="155">
        <f>IF(D94="","-",+C127+1)</f>
        <v>2046</v>
      </c>
      <c r="D128" s="156">
        <f>IF(F127+SUM(E$100:E127)=D$93,F127,D$93-SUM(E$100:E127))</f>
        <v>0</v>
      </c>
      <c r="E128" s="162">
        <f t="shared" si="21"/>
        <v>0</v>
      </c>
      <c r="F128" s="161">
        <f t="shared" si="22"/>
        <v>0</v>
      </c>
      <c r="G128" s="161">
        <f t="shared" si="23"/>
        <v>0</v>
      </c>
      <c r="H128" s="314">
        <f t="shared" si="16"/>
        <v>0</v>
      </c>
      <c r="I128" s="323">
        <f t="shared" si="24"/>
        <v>0</v>
      </c>
      <c r="J128" s="160">
        <f t="shared" si="17"/>
        <v>0</v>
      </c>
      <c r="K128" s="160"/>
      <c r="L128" s="316"/>
      <c r="M128" s="160">
        <f t="shared" si="18"/>
        <v>0</v>
      </c>
      <c r="N128" s="316"/>
      <c r="O128" s="160">
        <f t="shared" si="19"/>
        <v>0</v>
      </c>
      <c r="P128" s="160">
        <f t="shared" si="20"/>
        <v>0</v>
      </c>
    </row>
    <row r="129" spans="2:16">
      <c r="B129" t="str">
        <f t="shared" si="15"/>
        <v/>
      </c>
      <c r="C129" s="155">
        <f>IF(D94="","-",+C128+1)</f>
        <v>2047</v>
      </c>
      <c r="D129" s="156">
        <f>IF(F128+SUM(E$100:E128)=D$93,F128,D$93-SUM(E$100:E128))</f>
        <v>0</v>
      </c>
      <c r="E129" s="162">
        <f t="shared" si="21"/>
        <v>0</v>
      </c>
      <c r="F129" s="161">
        <f t="shared" si="22"/>
        <v>0</v>
      </c>
      <c r="G129" s="161">
        <f t="shared" si="23"/>
        <v>0</v>
      </c>
      <c r="H129" s="314">
        <f t="shared" si="16"/>
        <v>0</v>
      </c>
      <c r="I129" s="323">
        <f t="shared" si="24"/>
        <v>0</v>
      </c>
      <c r="J129" s="160">
        <f t="shared" si="17"/>
        <v>0</v>
      </c>
      <c r="K129" s="160"/>
      <c r="L129" s="316"/>
      <c r="M129" s="160">
        <f t="shared" si="18"/>
        <v>0</v>
      </c>
      <c r="N129" s="316"/>
      <c r="O129" s="160">
        <f t="shared" si="19"/>
        <v>0</v>
      </c>
      <c r="P129" s="160">
        <f t="shared" si="20"/>
        <v>0</v>
      </c>
    </row>
    <row r="130" spans="2:16">
      <c r="B130" t="str">
        <f t="shared" si="15"/>
        <v/>
      </c>
      <c r="C130" s="155">
        <f>IF(D94="","-",+C129+1)</f>
        <v>2048</v>
      </c>
      <c r="D130" s="156">
        <f>IF(F129+SUM(E$100:E129)=D$93,F129,D$93-SUM(E$100:E129))</f>
        <v>0</v>
      </c>
      <c r="E130" s="162">
        <f t="shared" si="21"/>
        <v>0</v>
      </c>
      <c r="F130" s="161">
        <f t="shared" si="22"/>
        <v>0</v>
      </c>
      <c r="G130" s="161">
        <f t="shared" si="23"/>
        <v>0</v>
      </c>
      <c r="H130" s="314">
        <f t="shared" si="16"/>
        <v>0</v>
      </c>
      <c r="I130" s="323">
        <f t="shared" si="24"/>
        <v>0</v>
      </c>
      <c r="J130" s="160">
        <f t="shared" si="17"/>
        <v>0</v>
      </c>
      <c r="K130" s="160"/>
      <c r="L130" s="316"/>
      <c r="M130" s="160">
        <f t="shared" si="18"/>
        <v>0</v>
      </c>
      <c r="N130" s="316"/>
      <c r="O130" s="160">
        <f t="shared" si="19"/>
        <v>0</v>
      </c>
      <c r="P130" s="160">
        <f t="shared" si="20"/>
        <v>0</v>
      </c>
    </row>
    <row r="131" spans="2:16">
      <c r="B131" t="str">
        <f t="shared" si="15"/>
        <v/>
      </c>
      <c r="C131" s="155">
        <f>IF(D94="","-",+C130+1)</f>
        <v>2049</v>
      </c>
      <c r="D131" s="156">
        <f>IF(F130+SUM(E$100:E130)=D$93,F130,D$93-SUM(E$100:E130))</f>
        <v>0</v>
      </c>
      <c r="E131" s="162">
        <f t="shared" si="21"/>
        <v>0</v>
      </c>
      <c r="F131" s="161">
        <f t="shared" si="22"/>
        <v>0</v>
      </c>
      <c r="G131" s="161">
        <f t="shared" si="23"/>
        <v>0</v>
      </c>
      <c r="H131" s="314">
        <f t="shared" si="16"/>
        <v>0</v>
      </c>
      <c r="I131" s="323">
        <f t="shared" si="24"/>
        <v>0</v>
      </c>
      <c r="J131" s="160">
        <f t="shared" si="17"/>
        <v>0</v>
      </c>
      <c r="K131" s="160"/>
      <c r="L131" s="316"/>
      <c r="M131" s="160">
        <f t="shared" si="18"/>
        <v>0</v>
      </c>
      <c r="N131" s="316"/>
      <c r="O131" s="160">
        <f t="shared" si="19"/>
        <v>0</v>
      </c>
      <c r="P131" s="160">
        <f t="shared" si="20"/>
        <v>0</v>
      </c>
    </row>
    <row r="132" spans="2:16">
      <c r="B132" t="str">
        <f t="shared" si="15"/>
        <v/>
      </c>
      <c r="C132" s="155">
        <f>IF(D94="","-",+C131+1)</f>
        <v>2050</v>
      </c>
      <c r="D132" s="156">
        <f>IF(F131+SUM(E$100:E131)=D$93,F131,D$93-SUM(E$100:E131))</f>
        <v>0</v>
      </c>
      <c r="E132" s="162">
        <f t="shared" si="21"/>
        <v>0</v>
      </c>
      <c r="F132" s="161">
        <f t="shared" ref="F132:F155" si="25">+D132-E132</f>
        <v>0</v>
      </c>
      <c r="G132" s="161">
        <f t="shared" ref="G132:G155" si="26">+(F132+D132)/2</f>
        <v>0</v>
      </c>
      <c r="H132" s="314">
        <f t="shared" si="16"/>
        <v>0</v>
      </c>
      <c r="I132" s="323">
        <f t="shared" si="24"/>
        <v>0</v>
      </c>
      <c r="J132" s="160">
        <f t="shared" ref="J132:J155" si="27">+I542-H542</f>
        <v>0</v>
      </c>
      <c r="K132" s="160"/>
      <c r="L132" s="316"/>
      <c r="M132" s="160">
        <f t="shared" ref="M132:M155" si="28">IF(L542&lt;&gt;0,+H542-L542,0)</f>
        <v>0</v>
      </c>
      <c r="N132" s="316"/>
      <c r="O132" s="160">
        <f t="shared" ref="O132:O155" si="29">IF(N542&lt;&gt;0,+I542-N542,0)</f>
        <v>0</v>
      </c>
      <c r="P132" s="160">
        <f t="shared" ref="P132:P155" si="30">+O542-M542</f>
        <v>0</v>
      </c>
    </row>
    <row r="133" spans="2:16">
      <c r="B133" t="str">
        <f t="shared" si="15"/>
        <v/>
      </c>
      <c r="C133" s="155">
        <f>IF(D94="","-",+C132+1)</f>
        <v>2051</v>
      </c>
      <c r="D133" s="156">
        <f>IF(F132+SUM(E$100:E132)=D$93,F132,D$93-SUM(E$100:E132))</f>
        <v>0</v>
      </c>
      <c r="E133" s="162">
        <f t="shared" ref="E133:E155" si="31">IF(+J$97&lt;F132,J$97,D133)</f>
        <v>0</v>
      </c>
      <c r="F133" s="161">
        <f t="shared" si="25"/>
        <v>0</v>
      </c>
      <c r="G133" s="161">
        <f t="shared" si="26"/>
        <v>0</v>
      </c>
      <c r="H133" s="314">
        <f t="shared" si="16"/>
        <v>0</v>
      </c>
      <c r="I133" s="323">
        <f t="shared" si="24"/>
        <v>0</v>
      </c>
      <c r="J133" s="160">
        <f t="shared" si="27"/>
        <v>0</v>
      </c>
      <c r="K133" s="160"/>
      <c r="L133" s="316"/>
      <c r="M133" s="160">
        <f t="shared" si="28"/>
        <v>0</v>
      </c>
      <c r="N133" s="316"/>
      <c r="O133" s="160">
        <f t="shared" si="29"/>
        <v>0</v>
      </c>
      <c r="P133" s="160">
        <f t="shared" si="30"/>
        <v>0</v>
      </c>
    </row>
    <row r="134" spans="2:16">
      <c r="B134" t="str">
        <f t="shared" si="15"/>
        <v/>
      </c>
      <c r="C134" s="155">
        <f>IF(D94="","-",+C133+1)</f>
        <v>2052</v>
      </c>
      <c r="D134" s="156">
        <f>IF(F133+SUM(E$100:E133)=D$93,F133,D$93-SUM(E$100:E133))</f>
        <v>0</v>
      </c>
      <c r="E134" s="162">
        <f t="shared" si="31"/>
        <v>0</v>
      </c>
      <c r="F134" s="161">
        <f t="shared" si="25"/>
        <v>0</v>
      </c>
      <c r="G134" s="161">
        <f t="shared" si="26"/>
        <v>0</v>
      </c>
      <c r="H134" s="314">
        <f t="shared" si="16"/>
        <v>0</v>
      </c>
      <c r="I134" s="323">
        <f t="shared" si="24"/>
        <v>0</v>
      </c>
      <c r="J134" s="160">
        <f t="shared" si="27"/>
        <v>0</v>
      </c>
      <c r="K134" s="160"/>
      <c r="L134" s="316"/>
      <c r="M134" s="160">
        <f t="shared" si="28"/>
        <v>0</v>
      </c>
      <c r="N134" s="316"/>
      <c r="O134" s="160">
        <f t="shared" si="29"/>
        <v>0</v>
      </c>
      <c r="P134" s="160">
        <f t="shared" si="30"/>
        <v>0</v>
      </c>
    </row>
    <row r="135" spans="2:16">
      <c r="B135" t="str">
        <f t="shared" si="15"/>
        <v/>
      </c>
      <c r="C135" s="155">
        <f>IF(D94="","-",+C134+1)</f>
        <v>2053</v>
      </c>
      <c r="D135" s="156">
        <f>IF(F134+SUM(E$100:E134)=D$93,F134,D$93-SUM(E$100:E134))</f>
        <v>0</v>
      </c>
      <c r="E135" s="162">
        <f t="shared" si="31"/>
        <v>0</v>
      </c>
      <c r="F135" s="161">
        <f t="shared" si="25"/>
        <v>0</v>
      </c>
      <c r="G135" s="161">
        <f t="shared" si="26"/>
        <v>0</v>
      </c>
      <c r="H135" s="314">
        <f t="shared" si="16"/>
        <v>0</v>
      </c>
      <c r="I135" s="323">
        <f t="shared" si="24"/>
        <v>0</v>
      </c>
      <c r="J135" s="160">
        <f t="shared" si="27"/>
        <v>0</v>
      </c>
      <c r="K135" s="160"/>
      <c r="L135" s="316"/>
      <c r="M135" s="160">
        <f t="shared" si="28"/>
        <v>0</v>
      </c>
      <c r="N135" s="316"/>
      <c r="O135" s="160">
        <f t="shared" si="29"/>
        <v>0</v>
      </c>
      <c r="P135" s="160">
        <f t="shared" si="30"/>
        <v>0</v>
      </c>
    </row>
    <row r="136" spans="2:16">
      <c r="B136" t="str">
        <f t="shared" si="15"/>
        <v/>
      </c>
      <c r="C136" s="155">
        <f>IF(D94="","-",+C135+1)</f>
        <v>2054</v>
      </c>
      <c r="D136" s="156">
        <f>IF(F135+SUM(E$100:E135)=D$93,F135,D$93-SUM(E$100:E135))</f>
        <v>0</v>
      </c>
      <c r="E136" s="162">
        <f t="shared" si="31"/>
        <v>0</v>
      </c>
      <c r="F136" s="161">
        <f t="shared" si="25"/>
        <v>0</v>
      </c>
      <c r="G136" s="161">
        <f t="shared" si="26"/>
        <v>0</v>
      </c>
      <c r="H136" s="314">
        <f t="shared" si="16"/>
        <v>0</v>
      </c>
      <c r="I136" s="323">
        <f t="shared" si="24"/>
        <v>0</v>
      </c>
      <c r="J136" s="160">
        <f t="shared" si="27"/>
        <v>0</v>
      </c>
      <c r="K136" s="160"/>
      <c r="L136" s="316"/>
      <c r="M136" s="160">
        <f t="shared" si="28"/>
        <v>0</v>
      </c>
      <c r="N136" s="316"/>
      <c r="O136" s="160">
        <f t="shared" si="29"/>
        <v>0</v>
      </c>
      <c r="P136" s="160">
        <f t="shared" si="30"/>
        <v>0</v>
      </c>
    </row>
    <row r="137" spans="2:16">
      <c r="B137" t="str">
        <f t="shared" si="15"/>
        <v/>
      </c>
      <c r="C137" s="155">
        <f>IF(D94="","-",+C136+1)</f>
        <v>2055</v>
      </c>
      <c r="D137" s="156">
        <f>IF(F136+SUM(E$100:E136)=D$93,F136,D$93-SUM(E$100:E136))</f>
        <v>0</v>
      </c>
      <c r="E137" s="162">
        <f t="shared" si="31"/>
        <v>0</v>
      </c>
      <c r="F137" s="161">
        <f t="shared" si="25"/>
        <v>0</v>
      </c>
      <c r="G137" s="161">
        <f t="shared" si="26"/>
        <v>0</v>
      </c>
      <c r="H137" s="314">
        <f t="shared" si="16"/>
        <v>0</v>
      </c>
      <c r="I137" s="323">
        <f t="shared" si="24"/>
        <v>0</v>
      </c>
      <c r="J137" s="160">
        <f t="shared" si="27"/>
        <v>0</v>
      </c>
      <c r="K137" s="160"/>
      <c r="L137" s="316"/>
      <c r="M137" s="160">
        <f t="shared" si="28"/>
        <v>0</v>
      </c>
      <c r="N137" s="316"/>
      <c r="O137" s="160">
        <f t="shared" si="29"/>
        <v>0</v>
      </c>
      <c r="P137" s="160">
        <f t="shared" si="30"/>
        <v>0</v>
      </c>
    </row>
    <row r="138" spans="2:16">
      <c r="B138" t="str">
        <f t="shared" si="15"/>
        <v/>
      </c>
      <c r="C138" s="155">
        <f>IF(D94="","-",+C137+1)</f>
        <v>2056</v>
      </c>
      <c r="D138" s="156">
        <f>IF(F137+SUM(E$100:E137)=D$93,F137,D$93-SUM(E$100:E137))</f>
        <v>0</v>
      </c>
      <c r="E138" s="162">
        <f t="shared" si="31"/>
        <v>0</v>
      </c>
      <c r="F138" s="161">
        <f t="shared" si="25"/>
        <v>0</v>
      </c>
      <c r="G138" s="161">
        <f t="shared" si="26"/>
        <v>0</v>
      </c>
      <c r="H138" s="314">
        <f t="shared" si="16"/>
        <v>0</v>
      </c>
      <c r="I138" s="323">
        <f t="shared" si="24"/>
        <v>0</v>
      </c>
      <c r="J138" s="160">
        <f t="shared" si="27"/>
        <v>0</v>
      </c>
      <c r="K138" s="160"/>
      <c r="L138" s="316"/>
      <c r="M138" s="160">
        <f t="shared" si="28"/>
        <v>0</v>
      </c>
      <c r="N138" s="316"/>
      <c r="O138" s="160">
        <f t="shared" si="29"/>
        <v>0</v>
      </c>
      <c r="P138" s="160">
        <f t="shared" si="30"/>
        <v>0</v>
      </c>
    </row>
    <row r="139" spans="2:16">
      <c r="B139" t="str">
        <f t="shared" si="15"/>
        <v/>
      </c>
      <c r="C139" s="155">
        <f>IF(D94="","-",+C138+1)</f>
        <v>2057</v>
      </c>
      <c r="D139" s="156">
        <f>IF(F138+SUM(E$100:E138)=D$93,F138,D$93-SUM(E$100:E138))</f>
        <v>0</v>
      </c>
      <c r="E139" s="162">
        <f t="shared" si="31"/>
        <v>0</v>
      </c>
      <c r="F139" s="161">
        <f t="shared" si="25"/>
        <v>0</v>
      </c>
      <c r="G139" s="161">
        <f t="shared" si="26"/>
        <v>0</v>
      </c>
      <c r="H139" s="314">
        <f t="shared" si="16"/>
        <v>0</v>
      </c>
      <c r="I139" s="323">
        <f t="shared" si="24"/>
        <v>0</v>
      </c>
      <c r="J139" s="160">
        <f t="shared" si="27"/>
        <v>0</v>
      </c>
      <c r="K139" s="160"/>
      <c r="L139" s="316"/>
      <c r="M139" s="160">
        <f t="shared" si="28"/>
        <v>0</v>
      </c>
      <c r="N139" s="316"/>
      <c r="O139" s="160">
        <f t="shared" si="29"/>
        <v>0</v>
      </c>
      <c r="P139" s="160">
        <f t="shared" si="30"/>
        <v>0</v>
      </c>
    </row>
    <row r="140" spans="2:16">
      <c r="B140" t="str">
        <f t="shared" si="15"/>
        <v/>
      </c>
      <c r="C140" s="155">
        <f>IF(D94="","-",+C139+1)</f>
        <v>2058</v>
      </c>
      <c r="D140" s="156">
        <f>IF(F139+SUM(E$100:E139)=D$93,F139,D$93-SUM(E$100:E139))</f>
        <v>0</v>
      </c>
      <c r="E140" s="162">
        <f t="shared" si="31"/>
        <v>0</v>
      </c>
      <c r="F140" s="161">
        <f t="shared" si="25"/>
        <v>0</v>
      </c>
      <c r="G140" s="161">
        <f t="shared" si="26"/>
        <v>0</v>
      </c>
      <c r="H140" s="314">
        <f t="shared" si="16"/>
        <v>0</v>
      </c>
      <c r="I140" s="323">
        <f t="shared" si="24"/>
        <v>0</v>
      </c>
      <c r="J140" s="160">
        <f t="shared" si="27"/>
        <v>0</v>
      </c>
      <c r="K140" s="160"/>
      <c r="L140" s="316"/>
      <c r="M140" s="160">
        <f t="shared" si="28"/>
        <v>0</v>
      </c>
      <c r="N140" s="316"/>
      <c r="O140" s="160">
        <f t="shared" si="29"/>
        <v>0</v>
      </c>
      <c r="P140" s="160">
        <f t="shared" si="30"/>
        <v>0</v>
      </c>
    </row>
    <row r="141" spans="2:16">
      <c r="B141" t="str">
        <f t="shared" si="15"/>
        <v/>
      </c>
      <c r="C141" s="155">
        <f>IF(D94="","-",+C140+1)</f>
        <v>2059</v>
      </c>
      <c r="D141" s="156">
        <f>IF(F140+SUM(E$100:E140)=D$93,F140,D$93-SUM(E$100:E140))</f>
        <v>0</v>
      </c>
      <c r="E141" s="162">
        <f t="shared" si="31"/>
        <v>0</v>
      </c>
      <c r="F141" s="161">
        <f t="shared" si="25"/>
        <v>0</v>
      </c>
      <c r="G141" s="161">
        <f t="shared" si="26"/>
        <v>0</v>
      </c>
      <c r="H141" s="314">
        <f t="shared" si="16"/>
        <v>0</v>
      </c>
      <c r="I141" s="323">
        <f t="shared" si="24"/>
        <v>0</v>
      </c>
      <c r="J141" s="160">
        <f t="shared" si="27"/>
        <v>0</v>
      </c>
      <c r="K141" s="160"/>
      <c r="L141" s="316"/>
      <c r="M141" s="160">
        <f t="shared" si="28"/>
        <v>0</v>
      </c>
      <c r="N141" s="316"/>
      <c r="O141" s="160">
        <f t="shared" si="29"/>
        <v>0</v>
      </c>
      <c r="P141" s="160">
        <f t="shared" si="30"/>
        <v>0</v>
      </c>
    </row>
    <row r="142" spans="2:16">
      <c r="B142" t="str">
        <f t="shared" si="15"/>
        <v/>
      </c>
      <c r="C142" s="155">
        <f>IF(D94="","-",+C141+1)</f>
        <v>2060</v>
      </c>
      <c r="D142" s="156">
        <f>IF(F141+SUM(E$100:E141)=D$93,F141,D$93-SUM(E$100:E141))</f>
        <v>0</v>
      </c>
      <c r="E142" s="162">
        <f t="shared" si="31"/>
        <v>0</v>
      </c>
      <c r="F142" s="161">
        <f t="shared" si="25"/>
        <v>0</v>
      </c>
      <c r="G142" s="161">
        <f t="shared" si="26"/>
        <v>0</v>
      </c>
      <c r="H142" s="314">
        <f t="shared" si="16"/>
        <v>0</v>
      </c>
      <c r="I142" s="323">
        <f t="shared" si="24"/>
        <v>0</v>
      </c>
      <c r="J142" s="160">
        <f t="shared" si="27"/>
        <v>0</v>
      </c>
      <c r="K142" s="160"/>
      <c r="L142" s="316"/>
      <c r="M142" s="160">
        <f t="shared" si="28"/>
        <v>0</v>
      </c>
      <c r="N142" s="316"/>
      <c r="O142" s="160">
        <f t="shared" si="29"/>
        <v>0</v>
      </c>
      <c r="P142" s="160">
        <f t="shared" si="30"/>
        <v>0</v>
      </c>
    </row>
    <row r="143" spans="2:16">
      <c r="B143" t="str">
        <f t="shared" si="15"/>
        <v/>
      </c>
      <c r="C143" s="155">
        <f>IF(D94="","-",+C142+1)</f>
        <v>2061</v>
      </c>
      <c r="D143" s="156">
        <f>IF(F142+SUM(E$100:E142)=D$93,F142,D$93-SUM(E$100:E142))</f>
        <v>0</v>
      </c>
      <c r="E143" s="162">
        <f t="shared" si="31"/>
        <v>0</v>
      </c>
      <c r="F143" s="161">
        <f t="shared" si="25"/>
        <v>0</v>
      </c>
      <c r="G143" s="161">
        <f t="shared" si="26"/>
        <v>0</v>
      </c>
      <c r="H143" s="314">
        <f t="shared" si="16"/>
        <v>0</v>
      </c>
      <c r="I143" s="323">
        <f t="shared" si="24"/>
        <v>0</v>
      </c>
      <c r="J143" s="160">
        <f t="shared" si="27"/>
        <v>0</v>
      </c>
      <c r="K143" s="160"/>
      <c r="L143" s="316"/>
      <c r="M143" s="160">
        <f t="shared" si="28"/>
        <v>0</v>
      </c>
      <c r="N143" s="316"/>
      <c r="O143" s="160">
        <f t="shared" si="29"/>
        <v>0</v>
      </c>
      <c r="P143" s="160">
        <f t="shared" si="30"/>
        <v>0</v>
      </c>
    </row>
    <row r="144" spans="2:16">
      <c r="B144" t="str">
        <f t="shared" si="15"/>
        <v/>
      </c>
      <c r="C144" s="155">
        <f>IF(D94="","-",+C143+1)</f>
        <v>2062</v>
      </c>
      <c r="D144" s="156">
        <f>IF(F143+SUM(E$100:E143)=D$93,F143,D$93-SUM(E$100:E143))</f>
        <v>0</v>
      </c>
      <c r="E144" s="162">
        <f t="shared" si="31"/>
        <v>0</v>
      </c>
      <c r="F144" s="161">
        <f t="shared" si="25"/>
        <v>0</v>
      </c>
      <c r="G144" s="161">
        <f t="shared" si="26"/>
        <v>0</v>
      </c>
      <c r="H144" s="314">
        <f t="shared" si="16"/>
        <v>0</v>
      </c>
      <c r="I144" s="323">
        <f t="shared" si="24"/>
        <v>0</v>
      </c>
      <c r="J144" s="160">
        <f t="shared" si="27"/>
        <v>0</v>
      </c>
      <c r="K144" s="160"/>
      <c r="L144" s="316"/>
      <c r="M144" s="160">
        <f t="shared" si="28"/>
        <v>0</v>
      </c>
      <c r="N144" s="316"/>
      <c r="O144" s="160">
        <f t="shared" si="29"/>
        <v>0</v>
      </c>
      <c r="P144" s="160">
        <f t="shared" si="30"/>
        <v>0</v>
      </c>
    </row>
    <row r="145" spans="2:16">
      <c r="B145" t="str">
        <f t="shared" si="15"/>
        <v/>
      </c>
      <c r="C145" s="155">
        <f>IF(D94="","-",+C144+1)</f>
        <v>2063</v>
      </c>
      <c r="D145" s="156">
        <f>IF(F144+SUM(E$100:E144)=D$93,F144,D$93-SUM(E$100:E144))</f>
        <v>0</v>
      </c>
      <c r="E145" s="162">
        <f t="shared" si="31"/>
        <v>0</v>
      </c>
      <c r="F145" s="161">
        <f t="shared" si="25"/>
        <v>0</v>
      </c>
      <c r="G145" s="161">
        <f t="shared" si="26"/>
        <v>0</v>
      </c>
      <c r="H145" s="314">
        <f t="shared" si="16"/>
        <v>0</v>
      </c>
      <c r="I145" s="323">
        <f t="shared" si="24"/>
        <v>0</v>
      </c>
      <c r="J145" s="160">
        <f t="shared" si="27"/>
        <v>0</v>
      </c>
      <c r="K145" s="160"/>
      <c r="L145" s="316"/>
      <c r="M145" s="160">
        <f t="shared" si="28"/>
        <v>0</v>
      </c>
      <c r="N145" s="316"/>
      <c r="O145" s="160">
        <f t="shared" si="29"/>
        <v>0</v>
      </c>
      <c r="P145" s="160">
        <f t="shared" si="30"/>
        <v>0</v>
      </c>
    </row>
    <row r="146" spans="2:16">
      <c r="B146" t="str">
        <f t="shared" si="15"/>
        <v/>
      </c>
      <c r="C146" s="155">
        <f>IF(D94="","-",+C145+1)</f>
        <v>2064</v>
      </c>
      <c r="D146" s="156">
        <f>IF(F145+SUM(E$100:E145)=D$93,F145,D$93-SUM(E$100:E145))</f>
        <v>0</v>
      </c>
      <c r="E146" s="162">
        <f t="shared" si="31"/>
        <v>0</v>
      </c>
      <c r="F146" s="161">
        <f t="shared" si="25"/>
        <v>0</v>
      </c>
      <c r="G146" s="161">
        <f t="shared" si="26"/>
        <v>0</v>
      </c>
      <c r="H146" s="314">
        <f t="shared" si="16"/>
        <v>0</v>
      </c>
      <c r="I146" s="323">
        <f t="shared" si="24"/>
        <v>0</v>
      </c>
      <c r="J146" s="160">
        <f t="shared" si="27"/>
        <v>0</v>
      </c>
      <c r="K146" s="160"/>
      <c r="L146" s="316"/>
      <c r="M146" s="160">
        <f t="shared" si="28"/>
        <v>0</v>
      </c>
      <c r="N146" s="316"/>
      <c r="O146" s="160">
        <f t="shared" si="29"/>
        <v>0</v>
      </c>
      <c r="P146" s="160">
        <f t="shared" si="30"/>
        <v>0</v>
      </c>
    </row>
    <row r="147" spans="2:16">
      <c r="B147" t="str">
        <f t="shared" si="15"/>
        <v/>
      </c>
      <c r="C147" s="155">
        <f>IF(D94="","-",+C146+1)</f>
        <v>2065</v>
      </c>
      <c r="D147" s="156">
        <f>IF(F146+SUM(E$100:E146)=D$93,F146,D$93-SUM(E$100:E146))</f>
        <v>0</v>
      </c>
      <c r="E147" s="162">
        <f t="shared" si="31"/>
        <v>0</v>
      </c>
      <c r="F147" s="161">
        <f t="shared" si="25"/>
        <v>0</v>
      </c>
      <c r="G147" s="161">
        <f t="shared" si="26"/>
        <v>0</v>
      </c>
      <c r="H147" s="314">
        <f t="shared" si="16"/>
        <v>0</v>
      </c>
      <c r="I147" s="323">
        <f t="shared" si="24"/>
        <v>0</v>
      </c>
      <c r="J147" s="160">
        <f t="shared" si="27"/>
        <v>0</v>
      </c>
      <c r="K147" s="160"/>
      <c r="L147" s="316"/>
      <c r="M147" s="160">
        <f t="shared" si="28"/>
        <v>0</v>
      </c>
      <c r="N147" s="316"/>
      <c r="O147" s="160">
        <f t="shared" si="29"/>
        <v>0</v>
      </c>
      <c r="P147" s="160">
        <f t="shared" si="30"/>
        <v>0</v>
      </c>
    </row>
    <row r="148" spans="2:16">
      <c r="B148" t="str">
        <f t="shared" si="15"/>
        <v/>
      </c>
      <c r="C148" s="155">
        <f>IF(D94="","-",+C147+1)</f>
        <v>2066</v>
      </c>
      <c r="D148" s="156">
        <f>IF(F147+SUM(E$100:E147)=D$93,F147,D$93-SUM(E$100:E147))</f>
        <v>0</v>
      </c>
      <c r="E148" s="162">
        <f t="shared" si="31"/>
        <v>0</v>
      </c>
      <c r="F148" s="161">
        <f t="shared" si="25"/>
        <v>0</v>
      </c>
      <c r="G148" s="161">
        <f t="shared" si="26"/>
        <v>0</v>
      </c>
      <c r="H148" s="314">
        <f t="shared" si="16"/>
        <v>0</v>
      </c>
      <c r="I148" s="323">
        <f t="shared" si="24"/>
        <v>0</v>
      </c>
      <c r="J148" s="160">
        <f t="shared" si="27"/>
        <v>0</v>
      </c>
      <c r="K148" s="160"/>
      <c r="L148" s="316"/>
      <c r="M148" s="160">
        <f t="shared" si="28"/>
        <v>0</v>
      </c>
      <c r="N148" s="316"/>
      <c r="O148" s="160">
        <f t="shared" si="29"/>
        <v>0</v>
      </c>
      <c r="P148" s="160">
        <f t="shared" si="30"/>
        <v>0</v>
      </c>
    </row>
    <row r="149" spans="2:16">
      <c r="B149" t="str">
        <f t="shared" si="15"/>
        <v/>
      </c>
      <c r="C149" s="155">
        <f>IF(D94="","-",+C148+1)</f>
        <v>2067</v>
      </c>
      <c r="D149" s="156">
        <f>IF(F148+SUM(E$100:E148)=D$93,F148,D$93-SUM(E$100:E148))</f>
        <v>0</v>
      </c>
      <c r="E149" s="162">
        <f t="shared" si="31"/>
        <v>0</v>
      </c>
      <c r="F149" s="161">
        <f t="shared" si="25"/>
        <v>0</v>
      </c>
      <c r="G149" s="161">
        <f t="shared" si="26"/>
        <v>0</v>
      </c>
      <c r="H149" s="314">
        <f t="shared" si="16"/>
        <v>0</v>
      </c>
      <c r="I149" s="323">
        <f t="shared" si="24"/>
        <v>0</v>
      </c>
      <c r="J149" s="160">
        <f t="shared" si="27"/>
        <v>0</v>
      </c>
      <c r="K149" s="160"/>
      <c r="L149" s="316"/>
      <c r="M149" s="160">
        <f t="shared" si="28"/>
        <v>0</v>
      </c>
      <c r="N149" s="316"/>
      <c r="O149" s="160">
        <f t="shared" si="29"/>
        <v>0</v>
      </c>
      <c r="P149" s="160">
        <f t="shared" si="30"/>
        <v>0</v>
      </c>
    </row>
    <row r="150" spans="2:16">
      <c r="B150" t="str">
        <f t="shared" si="15"/>
        <v/>
      </c>
      <c r="C150" s="155">
        <f>IF(D94="","-",+C149+1)</f>
        <v>2068</v>
      </c>
      <c r="D150" s="156">
        <f>IF(F149+SUM(E$100:E149)=D$93,F149,D$93-SUM(E$100:E149))</f>
        <v>0</v>
      </c>
      <c r="E150" s="162">
        <f t="shared" si="31"/>
        <v>0</v>
      </c>
      <c r="F150" s="161">
        <f t="shared" si="25"/>
        <v>0</v>
      </c>
      <c r="G150" s="161">
        <f t="shared" si="26"/>
        <v>0</v>
      </c>
      <c r="H150" s="314">
        <f t="shared" si="16"/>
        <v>0</v>
      </c>
      <c r="I150" s="323">
        <f t="shared" si="24"/>
        <v>0</v>
      </c>
      <c r="J150" s="160">
        <f t="shared" si="27"/>
        <v>0</v>
      </c>
      <c r="K150" s="160"/>
      <c r="L150" s="316"/>
      <c r="M150" s="160">
        <f t="shared" si="28"/>
        <v>0</v>
      </c>
      <c r="N150" s="316"/>
      <c r="O150" s="160">
        <f t="shared" si="29"/>
        <v>0</v>
      </c>
      <c r="P150" s="160">
        <f t="shared" si="30"/>
        <v>0</v>
      </c>
    </row>
    <row r="151" spans="2:16">
      <c r="B151" t="str">
        <f t="shared" si="15"/>
        <v/>
      </c>
      <c r="C151" s="155">
        <f>IF(D94="","-",+C150+1)</f>
        <v>2069</v>
      </c>
      <c r="D151" s="156">
        <f>IF(F150+SUM(E$100:E150)=D$93,F150,D$93-SUM(E$100:E150))</f>
        <v>0</v>
      </c>
      <c r="E151" s="162">
        <f t="shared" si="31"/>
        <v>0</v>
      </c>
      <c r="F151" s="161">
        <f t="shared" si="25"/>
        <v>0</v>
      </c>
      <c r="G151" s="161">
        <f t="shared" si="26"/>
        <v>0</v>
      </c>
      <c r="H151" s="314">
        <f t="shared" si="16"/>
        <v>0</v>
      </c>
      <c r="I151" s="323">
        <f t="shared" si="24"/>
        <v>0</v>
      </c>
      <c r="J151" s="160">
        <f t="shared" si="27"/>
        <v>0</v>
      </c>
      <c r="K151" s="160"/>
      <c r="L151" s="316"/>
      <c r="M151" s="160">
        <f t="shared" si="28"/>
        <v>0</v>
      </c>
      <c r="N151" s="316"/>
      <c r="O151" s="160">
        <f t="shared" si="29"/>
        <v>0</v>
      </c>
      <c r="P151" s="160">
        <f t="shared" si="30"/>
        <v>0</v>
      </c>
    </row>
    <row r="152" spans="2:16">
      <c r="B152" t="str">
        <f t="shared" si="15"/>
        <v/>
      </c>
      <c r="C152" s="155">
        <f>IF(D94="","-",+C151+1)</f>
        <v>2070</v>
      </c>
      <c r="D152" s="156">
        <f>IF(F151+SUM(E$100:E151)=D$93,F151,D$93-SUM(E$100:E151))</f>
        <v>0</v>
      </c>
      <c r="E152" s="162">
        <f t="shared" si="31"/>
        <v>0</v>
      </c>
      <c r="F152" s="161">
        <f t="shared" si="25"/>
        <v>0</v>
      </c>
      <c r="G152" s="161">
        <f t="shared" si="26"/>
        <v>0</v>
      </c>
      <c r="H152" s="314">
        <f t="shared" si="16"/>
        <v>0</v>
      </c>
      <c r="I152" s="323">
        <f t="shared" si="24"/>
        <v>0</v>
      </c>
      <c r="J152" s="160">
        <f t="shared" si="27"/>
        <v>0</v>
      </c>
      <c r="K152" s="160"/>
      <c r="L152" s="316"/>
      <c r="M152" s="160">
        <f t="shared" si="28"/>
        <v>0</v>
      </c>
      <c r="N152" s="316"/>
      <c r="O152" s="160">
        <f t="shared" si="29"/>
        <v>0</v>
      </c>
      <c r="P152" s="160">
        <f t="shared" si="30"/>
        <v>0</v>
      </c>
    </row>
    <row r="153" spans="2:16">
      <c r="B153" t="str">
        <f t="shared" si="15"/>
        <v/>
      </c>
      <c r="C153" s="155">
        <f>IF(D94="","-",+C152+1)</f>
        <v>2071</v>
      </c>
      <c r="D153" s="156">
        <f>IF(F152+SUM(E$100:E152)=D$93,F152,D$93-SUM(E$100:E152))</f>
        <v>0</v>
      </c>
      <c r="E153" s="162">
        <f t="shared" si="31"/>
        <v>0</v>
      </c>
      <c r="F153" s="161">
        <f t="shared" si="25"/>
        <v>0</v>
      </c>
      <c r="G153" s="161">
        <f t="shared" si="26"/>
        <v>0</v>
      </c>
      <c r="H153" s="314">
        <f t="shared" si="16"/>
        <v>0</v>
      </c>
      <c r="I153" s="323">
        <f t="shared" si="24"/>
        <v>0</v>
      </c>
      <c r="J153" s="160">
        <f t="shared" si="27"/>
        <v>0</v>
      </c>
      <c r="K153" s="160"/>
      <c r="L153" s="316"/>
      <c r="M153" s="160">
        <f t="shared" si="28"/>
        <v>0</v>
      </c>
      <c r="N153" s="316"/>
      <c r="O153" s="160">
        <f t="shared" si="29"/>
        <v>0</v>
      </c>
      <c r="P153" s="160">
        <f t="shared" si="30"/>
        <v>0</v>
      </c>
    </row>
    <row r="154" spans="2:16">
      <c r="B154" t="str">
        <f t="shared" si="15"/>
        <v/>
      </c>
      <c r="C154" s="155">
        <f>IF(D94="","-",+C153+1)</f>
        <v>2072</v>
      </c>
      <c r="D154" s="156">
        <f>IF(F153+SUM(E$100:E153)=D$93,F153,D$93-SUM(E$100:E153))</f>
        <v>0</v>
      </c>
      <c r="E154" s="162">
        <f t="shared" si="31"/>
        <v>0</v>
      </c>
      <c r="F154" s="161">
        <f t="shared" si="25"/>
        <v>0</v>
      </c>
      <c r="G154" s="161">
        <f t="shared" si="26"/>
        <v>0</v>
      </c>
      <c r="H154" s="314">
        <f t="shared" si="16"/>
        <v>0</v>
      </c>
      <c r="I154" s="323">
        <f t="shared" si="24"/>
        <v>0</v>
      </c>
      <c r="J154" s="160">
        <f t="shared" si="27"/>
        <v>0</v>
      </c>
      <c r="K154" s="160"/>
      <c r="L154" s="316"/>
      <c r="M154" s="160">
        <f t="shared" si="28"/>
        <v>0</v>
      </c>
      <c r="N154" s="316"/>
      <c r="O154" s="160">
        <f t="shared" si="29"/>
        <v>0</v>
      </c>
      <c r="P154" s="160">
        <f t="shared" si="30"/>
        <v>0</v>
      </c>
    </row>
    <row r="155" spans="2:16" ht="13.5" thickBot="1">
      <c r="B155" t="str">
        <f t="shared" si="15"/>
        <v/>
      </c>
      <c r="C155" s="166">
        <f>IF(D94="","-",+C154+1)</f>
        <v>2073</v>
      </c>
      <c r="D155" s="214">
        <f>IF(F154+SUM(E$100:E154)=D$93,F154,D$93-SUM(E$100:E154))</f>
        <v>0</v>
      </c>
      <c r="E155" s="168">
        <f t="shared" si="31"/>
        <v>0</v>
      </c>
      <c r="F155" s="167">
        <f t="shared" si="25"/>
        <v>0</v>
      </c>
      <c r="G155" s="167">
        <f t="shared" si="26"/>
        <v>0</v>
      </c>
      <c r="H155" s="324">
        <f t="shared" si="16"/>
        <v>0</v>
      </c>
      <c r="I155" s="325">
        <f t="shared" si="24"/>
        <v>0</v>
      </c>
      <c r="J155" s="171">
        <f t="shared" si="27"/>
        <v>0</v>
      </c>
      <c r="K155" s="160"/>
      <c r="L155" s="317"/>
      <c r="M155" s="171">
        <f t="shared" si="28"/>
        <v>0</v>
      </c>
      <c r="N155" s="317"/>
      <c r="O155" s="171">
        <f t="shared" si="29"/>
        <v>0</v>
      </c>
      <c r="P155" s="171">
        <f t="shared" si="30"/>
        <v>0</v>
      </c>
    </row>
    <row r="156" spans="2:16">
      <c r="C156" s="156" t="s">
        <v>75</v>
      </c>
      <c r="D156" s="112"/>
      <c r="E156" s="112">
        <f>SUM(E100:E155)</f>
        <v>0</v>
      </c>
      <c r="F156" s="112"/>
      <c r="G156" s="112"/>
      <c r="H156" s="112">
        <f>SUM(H100:H155)</f>
        <v>0</v>
      </c>
      <c r="I156" s="112">
        <f>SUM(I100:I155)</f>
        <v>0</v>
      </c>
      <c r="J156" s="112">
        <f>SUM(J100:J155)</f>
        <v>0</v>
      </c>
      <c r="K156" s="112"/>
      <c r="L156" s="112"/>
      <c r="M156" s="112"/>
      <c r="N156" s="112"/>
      <c r="O156" s="112"/>
      <c r="P156" s="1"/>
    </row>
    <row r="157" spans="2:16">
      <c r="C157" t="s">
        <v>90</v>
      </c>
      <c r="D157" s="2"/>
      <c r="E157" s="1"/>
      <c r="F157" s="1"/>
      <c r="G157" s="1"/>
      <c r="H157" s="1"/>
      <c r="I157" s="3"/>
      <c r="J157" s="3"/>
      <c r="K157" s="112"/>
      <c r="L157" s="3"/>
      <c r="M157" s="3"/>
      <c r="N157" s="3"/>
      <c r="O157" s="3"/>
      <c r="P157" s="1"/>
    </row>
    <row r="158" spans="2:16">
      <c r="C158" s="215"/>
      <c r="D158" s="2"/>
      <c r="E158" s="1"/>
      <c r="F158" s="1"/>
      <c r="G158" s="1"/>
      <c r="H158" s="1"/>
      <c r="I158" s="3"/>
      <c r="J158" s="3"/>
      <c r="K158" s="112"/>
      <c r="L158" s="3"/>
      <c r="M158" s="3"/>
      <c r="N158" s="3"/>
      <c r="O158" s="3"/>
      <c r="P158" s="1"/>
    </row>
    <row r="159" spans="2:16">
      <c r="C159" s="245" t="s">
        <v>130</v>
      </c>
      <c r="D159" s="2"/>
      <c r="E159" s="1"/>
      <c r="F159" s="1"/>
      <c r="G159" s="1"/>
      <c r="H159" s="1"/>
      <c r="I159" s="3"/>
      <c r="J159" s="3"/>
      <c r="K159" s="112"/>
      <c r="L159" s="3"/>
      <c r="M159" s="3"/>
      <c r="N159" s="3"/>
      <c r="O159" s="3"/>
      <c r="P159" s="1"/>
    </row>
    <row r="160" spans="2:16">
      <c r="C160" s="124" t="s">
        <v>76</v>
      </c>
      <c r="D160" s="156"/>
      <c r="E160" s="156"/>
      <c r="F160" s="156"/>
      <c r="G160" s="156"/>
      <c r="H160" s="112"/>
      <c r="I160" s="112"/>
      <c r="J160" s="173"/>
      <c r="K160" s="173"/>
      <c r="L160" s="173"/>
      <c r="M160" s="173"/>
      <c r="N160" s="173"/>
      <c r="O160" s="173"/>
      <c r="P160" s="1"/>
    </row>
    <row r="161" spans="3:16">
      <c r="C161" s="216" t="s">
        <v>77</v>
      </c>
      <c r="D161" s="156"/>
      <c r="E161" s="156"/>
      <c r="F161" s="156"/>
      <c r="G161" s="156"/>
      <c r="H161" s="112"/>
      <c r="I161" s="112"/>
      <c r="J161" s="173"/>
      <c r="K161" s="173"/>
      <c r="L161" s="173"/>
      <c r="M161" s="173"/>
      <c r="N161" s="173"/>
      <c r="O161" s="173"/>
      <c r="P161" s="1"/>
    </row>
    <row r="162" spans="3:16">
      <c r="C162" s="216"/>
      <c r="D162" s="156"/>
      <c r="E162" s="156"/>
      <c r="F162" s="156"/>
      <c r="G162" s="156"/>
      <c r="H162" s="112"/>
      <c r="I162" s="112"/>
      <c r="J162" s="173"/>
      <c r="K162" s="173"/>
      <c r="L162" s="173"/>
      <c r="M162" s="173"/>
      <c r="N162" s="173"/>
      <c r="O162" s="173"/>
      <c r="P162" s="1"/>
    </row>
    <row r="163" spans="3:16" ht="18">
      <c r="C163" s="216"/>
      <c r="D163" s="156"/>
      <c r="E163" s="156"/>
      <c r="F163" s="156"/>
      <c r="G163" s="156"/>
      <c r="H163" s="112"/>
      <c r="I163" s="112"/>
      <c r="J163" s="173"/>
      <c r="K163" s="173"/>
      <c r="L163" s="173"/>
      <c r="M163" s="173"/>
      <c r="N163" s="173"/>
      <c r="P163" s="24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S137"/>
  <sheetViews>
    <sheetView topLeftCell="E100" zoomScale="80" zoomScaleNormal="80" zoomScaleSheetLayoutView="100" workbookViewId="0">
      <selection activeCell="R132" sqref="R132:R135"/>
    </sheetView>
  </sheetViews>
  <sheetFormatPr defaultRowHeight="12.75" customHeight="1"/>
  <cols>
    <col min="1" max="1" width="4.7109375" customWidth="1"/>
    <col min="2" max="2" width="6.7109375" customWidth="1"/>
    <col min="3" max="3" width="20.7109375" customWidth="1"/>
    <col min="4" max="9" width="17.7109375" customWidth="1"/>
    <col min="10" max="10" width="17.7109375" bestFit="1" customWidth="1"/>
    <col min="11" max="11" width="2.140625" customWidth="1"/>
    <col min="12" max="14" width="17.7109375" customWidth="1"/>
    <col min="15" max="15" width="20.85546875" customWidth="1"/>
    <col min="16" max="16" width="19.5703125" customWidth="1"/>
    <col min="17" max="17" width="2.140625" customWidth="1"/>
    <col min="18" max="18" width="16.42578125" customWidth="1"/>
    <col min="19" max="19" width="52.42578125" customWidth="1"/>
  </cols>
  <sheetData>
    <row r="1" spans="1:19" ht="18">
      <c r="A1" s="510" t="str">
        <f>OKT.WS.F.BPU.ATRR.Projected!A1</f>
        <v xml:space="preserve">AEP West SPP Member Companies </v>
      </c>
      <c r="B1" s="515"/>
      <c r="C1" s="515"/>
      <c r="D1" s="515"/>
      <c r="E1" s="515"/>
      <c r="F1" s="515"/>
      <c r="G1" s="515"/>
      <c r="H1" s="515"/>
      <c r="I1" s="515"/>
      <c r="J1" s="515"/>
      <c r="K1" s="515"/>
      <c r="Q1" s="7"/>
      <c r="R1" s="7"/>
    </row>
    <row r="2" spans="1:19" ht="18">
      <c r="A2" s="510" t="str">
        <f>OKT.WS.F.BPU.ATRR.Projected!A2</f>
        <v>2018 Cost of Service Formula Rate Projected on 2017 FF1 Balances</v>
      </c>
      <c r="B2" s="515"/>
      <c r="C2" s="515"/>
      <c r="D2" s="515"/>
      <c r="E2" s="515"/>
      <c r="F2" s="515"/>
      <c r="G2" s="515"/>
      <c r="H2" s="515"/>
      <c r="I2" s="515"/>
      <c r="J2" s="515"/>
      <c r="K2" s="515"/>
      <c r="Q2" s="233" t="s">
        <v>110</v>
      </c>
      <c r="R2" s="7"/>
    </row>
    <row r="3" spans="1:19" ht="18">
      <c r="A3" s="512" t="s">
        <v>125</v>
      </c>
      <c r="B3" s="513"/>
      <c r="C3" s="513"/>
      <c r="D3" s="513"/>
      <c r="E3" s="513"/>
      <c r="F3" s="513"/>
      <c r="G3" s="513"/>
      <c r="H3" s="513"/>
      <c r="I3" s="513"/>
      <c r="J3" s="513"/>
      <c r="K3" s="513"/>
      <c r="Q3" s="7"/>
      <c r="R3" s="7"/>
    </row>
    <row r="4" spans="1:19" ht="18">
      <c r="A4" s="513" t="str">
        <f>"Based on a Carrying Charge Derived from ""Trued-Up"" "&amp;M16&amp;" Data"</f>
        <v>Based on a Carrying Charge Derived from "Trued-Up" 2018 Data</v>
      </c>
      <c r="B4" s="513"/>
      <c r="C4" s="513"/>
      <c r="D4" s="513"/>
      <c r="E4" s="513"/>
      <c r="F4" s="513"/>
      <c r="G4" s="513"/>
      <c r="H4" s="513"/>
      <c r="I4" s="513"/>
      <c r="J4" s="513"/>
      <c r="K4" s="513"/>
      <c r="Q4" s="7"/>
      <c r="R4" s="7"/>
    </row>
    <row r="5" spans="1:19" ht="18">
      <c r="A5" s="516" t="str">
        <f>OKT.WS.F.BPU.ATRR.Projected!A5</f>
        <v>OKLAHOMA TRANSMISSION COMPANY</v>
      </c>
      <c r="B5" s="517"/>
      <c r="C5" s="517"/>
      <c r="D5" s="517"/>
      <c r="E5" s="517"/>
      <c r="F5" s="517"/>
      <c r="G5" s="517"/>
      <c r="H5" s="517"/>
      <c r="I5" s="517"/>
      <c r="J5" s="517"/>
      <c r="K5" s="517"/>
      <c r="Q5" s="7"/>
      <c r="R5" s="7"/>
    </row>
    <row r="6" spans="1:19" ht="20.25">
      <c r="A6" s="176"/>
      <c r="C6" s="69"/>
      <c r="D6" s="9"/>
      <c r="I6" s="10"/>
      <c r="K6" s="7"/>
      <c r="Q6" s="7"/>
      <c r="R6" s="7"/>
    </row>
    <row r="7" spans="1:19">
      <c r="D7" s="9"/>
      <c r="I7" s="10"/>
      <c r="K7" s="7"/>
      <c r="Q7" s="7"/>
      <c r="R7" s="7"/>
    </row>
    <row r="8" spans="1:19" ht="39.75" customHeight="1">
      <c r="B8" s="5" t="s">
        <v>0</v>
      </c>
      <c r="C8" s="507" t="str">
        <f>"Calculate Return and Income Taxes with "&amp;F13&amp;" basis point ROE increase for Projects Qualified for Incentive."</f>
        <v>Calculate Return and Income Taxes with 0 basis point ROE increase for Projects Qualified for Incentive.</v>
      </c>
      <c r="D8" s="508"/>
      <c r="E8" s="508"/>
      <c r="F8" s="508"/>
      <c r="G8" s="508"/>
      <c r="H8" s="508"/>
      <c r="I8" s="508"/>
      <c r="K8" s="7"/>
      <c r="Q8" s="7"/>
      <c r="R8" s="7"/>
    </row>
    <row r="9" spans="1:19" ht="15.75" customHeight="1">
      <c r="C9" s="6"/>
      <c r="D9" s="6"/>
      <c r="E9" s="6"/>
      <c r="F9" s="6"/>
      <c r="G9" s="6"/>
      <c r="H9" s="6"/>
      <c r="I9" s="6"/>
      <c r="K9" s="7"/>
      <c r="Q9" s="7"/>
      <c r="R9" s="7"/>
    </row>
    <row r="10" spans="1:19" ht="15.75">
      <c r="C10" s="8" t="str">
        <f>"A.   Determine 'R' with hypothetical "&amp;F13&amp;" basis point increase in ROE for Identified Projects"</f>
        <v>A.   Determine 'R' with hypothetical 0 basis point increase in ROE for Identified Projects</v>
      </c>
      <c r="D10" s="9"/>
      <c r="I10" s="10"/>
      <c r="K10" s="7"/>
      <c r="Q10" s="7"/>
      <c r="R10" s="7"/>
    </row>
    <row r="11" spans="1:19">
      <c r="D11" s="9"/>
      <c r="I11" s="10"/>
      <c r="K11" s="7"/>
      <c r="Q11" s="7"/>
      <c r="R11" s="7"/>
    </row>
    <row r="12" spans="1:19">
      <c r="C12" s="11" t="str">
        <f>S105</f>
        <v xml:space="preserve">   ROE w/o incentives  (TCOS, ln 143)</v>
      </c>
      <c r="D12" s="9"/>
      <c r="E12" s="12"/>
      <c r="F12" s="13">
        <v>0.105</v>
      </c>
      <c r="G12" s="13"/>
      <c r="H12" s="14"/>
      <c r="I12" s="15"/>
      <c r="J12" s="16"/>
      <c r="K12" s="17"/>
      <c r="L12" s="16"/>
      <c r="M12" s="16"/>
      <c r="N12" s="16"/>
      <c r="O12" s="16"/>
      <c r="P12" s="16"/>
      <c r="Q12" s="17"/>
      <c r="R12" s="4"/>
      <c r="S12" s="1"/>
    </row>
    <row r="13" spans="1:19" ht="13.5" thickBot="1">
      <c r="C13" s="11" t="s">
        <v>1</v>
      </c>
      <c r="D13" s="9"/>
      <c r="E13" s="12"/>
      <c r="F13" s="387">
        <f>R106</f>
        <v>0</v>
      </c>
      <c r="G13" s="177" t="s">
        <v>133</v>
      </c>
      <c r="L13" s="16"/>
      <c r="M13" s="16"/>
      <c r="N13" s="16"/>
      <c r="O13" s="16"/>
      <c r="P13" s="16"/>
      <c r="Q13" s="17"/>
      <c r="R13" s="4"/>
      <c r="S13" s="1"/>
    </row>
    <row r="14" spans="1:19">
      <c r="C14" s="11" t="str">
        <f>"   ROE with additional "&amp;F13&amp;" basis point incentive"</f>
        <v xml:space="preserve">   ROE with additional 0 basis point incentive</v>
      </c>
      <c r="D14" s="12"/>
      <c r="E14" s="12"/>
      <c r="F14" s="20">
        <f>IF((F12+(F13/10000)&gt;0.1245),"ERROR",F12+(F13/10000))</f>
        <v>0.105</v>
      </c>
      <c r="G14" s="21" t="s">
        <v>2</v>
      </c>
      <c r="I14" s="16"/>
      <c r="J14" s="16"/>
      <c r="K14" s="17"/>
      <c r="L14" s="178" t="s">
        <v>79</v>
      </c>
      <c r="M14" s="179"/>
      <c r="N14" s="179"/>
      <c r="O14" s="179"/>
      <c r="P14" s="180"/>
      <c r="Q14" s="17"/>
      <c r="R14" s="4"/>
      <c r="S14" s="1"/>
    </row>
    <row r="15" spans="1:19">
      <c r="C15" s="11" t="s">
        <v>3</v>
      </c>
      <c r="D15" s="9"/>
      <c r="E15" s="12"/>
      <c r="F15" s="20"/>
      <c r="G15" s="20"/>
      <c r="H15" s="12"/>
      <c r="I15" s="16"/>
      <c r="J15" s="16"/>
      <c r="K15" s="17"/>
      <c r="L15" s="31"/>
      <c r="M15" s="17"/>
      <c r="N15" s="17" t="s">
        <v>9</v>
      </c>
      <c r="O15" s="17" t="s">
        <v>10</v>
      </c>
      <c r="P15" s="33" t="s">
        <v>11</v>
      </c>
      <c r="Q15" s="17"/>
      <c r="R15" s="4"/>
      <c r="S15" s="1"/>
    </row>
    <row r="16" spans="1:19">
      <c r="C16" s="17"/>
      <c r="D16" s="24" t="s">
        <v>5</v>
      </c>
      <c r="E16" s="24" t="s">
        <v>6</v>
      </c>
      <c r="F16" s="25" t="s">
        <v>7</v>
      </c>
      <c r="G16" s="25"/>
      <c r="H16" s="12"/>
      <c r="I16" s="16"/>
      <c r="J16" s="16"/>
      <c r="K16" s="17"/>
      <c r="L16" s="31" t="s">
        <v>80</v>
      </c>
      <c r="M16" s="221">
        <v>2018</v>
      </c>
      <c r="N16" s="7"/>
      <c r="O16" s="7"/>
      <c r="P16" s="39"/>
      <c r="Q16" s="17"/>
      <c r="R16" s="4"/>
      <c r="S16" s="1"/>
    </row>
    <row r="17" spans="3:19">
      <c r="C17" s="26" t="s">
        <v>8</v>
      </c>
      <c r="D17" s="27">
        <f>R107</f>
        <v>0.47147366920001632</v>
      </c>
      <c r="E17" s="28">
        <f>R108</f>
        <v>4.0383780852361266E-2</v>
      </c>
      <c r="F17" s="181">
        <f>E17*D17</f>
        <v>1.9039889334632128E-2</v>
      </c>
      <c r="G17" s="181"/>
      <c r="H17" s="12"/>
      <c r="I17" s="16"/>
      <c r="J17" s="29"/>
      <c r="K17" s="30"/>
      <c r="L17" s="38"/>
      <c r="M17" s="330" t="s">
        <v>255</v>
      </c>
      <c r="N17" s="183">
        <f>SUM('OKT.001:OKT.xyz - blank'!M88)</f>
        <v>39804485.030792631</v>
      </c>
      <c r="O17" s="183">
        <f>SUM('OKT.001:OKT.xyz - blank'!N88)</f>
        <v>39804485.030792631</v>
      </c>
      <c r="P17" s="184">
        <f>+O17-N17</f>
        <v>0</v>
      </c>
      <c r="Q17" s="30"/>
      <c r="R17" s="4"/>
      <c r="S17" s="1"/>
    </row>
    <row r="18" spans="3:19" ht="13.5" thickBot="1">
      <c r="C18" s="26" t="s">
        <v>12</v>
      </c>
      <c r="D18" s="27">
        <f>R109</f>
        <v>0</v>
      </c>
      <c r="E18" s="28">
        <f>R110</f>
        <v>0</v>
      </c>
      <c r="F18" s="181">
        <f>E18*D18</f>
        <v>0</v>
      </c>
      <c r="G18" s="181"/>
      <c r="H18" s="35"/>
      <c r="I18" s="35"/>
      <c r="J18" s="36"/>
      <c r="K18" s="37"/>
      <c r="L18" s="38"/>
      <c r="M18" s="329" t="s">
        <v>256</v>
      </c>
      <c r="N18" s="185">
        <f>SUM('OKT.001:OKT.xyz - blank'!M89)</f>
        <v>37381560.572083868</v>
      </c>
      <c r="O18" s="185">
        <f>SUM('OKT.001:OKT.xyz - blank'!N89)</f>
        <v>37381560.572083868</v>
      </c>
      <c r="P18" s="44">
        <f>+O18-N18</f>
        <v>0</v>
      </c>
      <c r="Q18" s="37"/>
      <c r="R18" s="4"/>
      <c r="S18" s="1"/>
    </row>
    <row r="19" spans="3:19">
      <c r="C19" s="40" t="s">
        <v>13</v>
      </c>
      <c r="D19" s="27">
        <f>R111</f>
        <v>0.52852633079998368</v>
      </c>
      <c r="E19" s="28">
        <f>+F14</f>
        <v>0.105</v>
      </c>
      <c r="F19" s="186">
        <f>E19*D19</f>
        <v>5.5495264733998281E-2</v>
      </c>
      <c r="G19" s="186"/>
      <c r="H19" s="35"/>
      <c r="I19" s="35"/>
      <c r="J19" s="20"/>
      <c r="K19" s="37"/>
      <c r="L19" s="38"/>
      <c r="M19" s="182" t="str">
        <f>"True-up Adjustment For "&amp;M16&amp;""</f>
        <v>True-up Adjustment For 2018</v>
      </c>
      <c r="N19" s="187">
        <f>ROUND(N18-N17,0)</f>
        <v>-2422924</v>
      </c>
      <c r="O19" s="187">
        <f>ROUND(+O18-O17,0)</f>
        <v>-2422924</v>
      </c>
      <c r="P19" s="187">
        <f>ROUND(+P18-P17,0)</f>
        <v>0</v>
      </c>
      <c r="Q19" s="37"/>
      <c r="R19" s="4"/>
      <c r="S19" s="1"/>
    </row>
    <row r="20" spans="3:19">
      <c r="C20" s="11"/>
      <c r="D20" s="12"/>
      <c r="E20" s="45" t="s">
        <v>15</v>
      </c>
      <c r="F20" s="181">
        <f>SUM(F17:F19)</f>
        <v>7.4535154068630413E-2</v>
      </c>
      <c r="G20" s="181"/>
      <c r="H20" s="188"/>
      <c r="I20" s="35"/>
      <c r="J20" s="36"/>
      <c r="K20" s="37"/>
      <c r="L20" s="38"/>
      <c r="M20" s="7"/>
      <c r="N20" s="225" t="str">
        <f>IF(N19=ROUND(SUM('OKT.001:OKT.xyz - blank'!M90),0),"","ERROR")</f>
        <v/>
      </c>
      <c r="O20" s="225" t="str">
        <f>IF(O19=ROUND(SUM('OKT.001:OKT.xyz - blank'!N90),0),"","ERROR")</f>
        <v/>
      </c>
      <c r="P20" s="225" t="str">
        <f>IF(P19=ROUND(SUM('OKT.001:OKT.xyz - blank'!O90),0),"","ERROR")</f>
        <v/>
      </c>
      <c r="Q20" s="37"/>
      <c r="R20" s="4"/>
      <c r="S20" s="1"/>
    </row>
    <row r="21" spans="3:19" ht="13.5" thickBot="1">
      <c r="D21" s="46"/>
      <c r="E21" s="46"/>
      <c r="F21" s="35"/>
      <c r="G21" s="35"/>
      <c r="H21" s="35"/>
      <c r="I21" s="35"/>
      <c r="J21" s="35"/>
      <c r="K21" s="47"/>
      <c r="L21" s="189"/>
      <c r="M21" s="42"/>
      <c r="N21" s="190"/>
      <c r="O21" s="466"/>
      <c r="P21" s="44"/>
      <c r="Q21" s="47"/>
      <c r="R21" s="4"/>
      <c r="S21" s="1"/>
    </row>
    <row r="22" spans="3:19" ht="15.75">
      <c r="C22" s="8" t="str">
        <f>"B.   Determine Return using 'R' with hypothetical "&amp;F13&amp;" basis point ROE increase for Identified Projects."</f>
        <v>B.   Determine Return using 'R' with hypothetical 0 basis point ROE increase for Identified Projects.</v>
      </c>
      <c r="D22" s="46"/>
      <c r="E22" s="46"/>
      <c r="F22" s="49"/>
      <c r="G22" s="49"/>
      <c r="H22" s="35"/>
      <c r="I22" s="12"/>
      <c r="J22" s="35"/>
      <c r="K22" s="47"/>
      <c r="L22" s="35"/>
      <c r="M22" s="35"/>
      <c r="N22" s="35"/>
      <c r="O22" s="35"/>
      <c r="P22" s="35"/>
      <c r="Q22" s="47"/>
      <c r="R22" s="4"/>
      <c r="S22" s="1"/>
    </row>
    <row r="23" spans="3:19">
      <c r="C23" s="17"/>
      <c r="D23" s="46"/>
      <c r="E23" s="46"/>
      <c r="F23" s="47"/>
      <c r="G23" s="47"/>
      <c r="H23" s="47"/>
      <c r="I23" s="47"/>
      <c r="J23" s="47"/>
      <c r="K23" s="47"/>
      <c r="L23" s="48" t="s">
        <v>16</v>
      </c>
      <c r="M23" s="47"/>
      <c r="N23" s="47"/>
      <c r="O23" s="47"/>
      <c r="P23" s="47"/>
      <c r="Q23" s="47"/>
      <c r="R23" s="4"/>
      <c r="S23" s="1"/>
    </row>
    <row r="24" spans="3:19">
      <c r="C24" s="11" t="str">
        <f>S112</f>
        <v xml:space="preserve">   Rate Base  (TCOS, ln 63)</v>
      </c>
      <c r="D24" s="12"/>
      <c r="E24" s="51">
        <f>R112</f>
        <v>639922411.07623744</v>
      </c>
      <c r="F24" s="52"/>
      <c r="G24" s="52"/>
      <c r="H24" s="47"/>
      <c r="I24" s="47"/>
      <c r="J24" s="47"/>
      <c r="K24" s="47"/>
      <c r="L24" t="s">
        <v>17</v>
      </c>
      <c r="M24" s="47"/>
      <c r="N24" s="47"/>
      <c r="O24" s="47"/>
      <c r="P24" s="52"/>
      <c r="Q24" s="47"/>
      <c r="R24" s="4"/>
      <c r="S24" s="1"/>
    </row>
    <row r="25" spans="3:19">
      <c r="C25" s="17" t="s">
        <v>18</v>
      </c>
      <c r="D25" s="14"/>
      <c r="E25" s="53">
        <f>F20</f>
        <v>7.4535154068630413E-2</v>
      </c>
      <c r="F25" s="47"/>
      <c r="G25" s="47"/>
      <c r="H25" s="47"/>
      <c r="I25" s="47"/>
      <c r="J25" s="47"/>
      <c r="K25" s="47"/>
      <c r="L25" s="47"/>
      <c r="M25" s="47"/>
      <c r="N25" s="47"/>
      <c r="O25" s="47"/>
      <c r="P25" s="47"/>
      <c r="Q25" s="47"/>
      <c r="R25" s="4"/>
      <c r="S25" s="1"/>
    </row>
    <row r="26" spans="3:19">
      <c r="C26" s="54" t="s">
        <v>19</v>
      </c>
      <c r="D26" s="54"/>
      <c r="E26" s="36">
        <f>E24*E25</f>
        <v>47696715.501536801</v>
      </c>
      <c r="F26" s="47"/>
      <c r="G26" s="47"/>
      <c r="H26" s="47"/>
      <c r="I26" s="47"/>
      <c r="J26" s="37"/>
      <c r="K26" s="37"/>
      <c r="L26" s="37"/>
      <c r="M26" s="37"/>
      <c r="N26" s="37"/>
      <c r="O26" s="37"/>
      <c r="P26" s="47"/>
      <c r="Q26" s="37"/>
      <c r="R26" s="4"/>
      <c r="S26" s="1"/>
    </row>
    <row r="27" spans="3:19" ht="13.5" thickBot="1">
      <c r="C27" s="55"/>
      <c r="D27" s="16"/>
      <c r="E27" s="16"/>
      <c r="F27" s="47"/>
      <c r="G27" s="47"/>
      <c r="H27" s="47"/>
      <c r="I27" s="47"/>
      <c r="J27" s="37"/>
      <c r="K27" s="37"/>
      <c r="L27" s="37"/>
      <c r="M27" s="37"/>
      <c r="N27" s="491">
        <v>39804485.030792631</v>
      </c>
      <c r="O27" s="37"/>
      <c r="P27" s="47"/>
      <c r="Q27" s="37"/>
      <c r="R27" s="4"/>
      <c r="S27" s="1"/>
    </row>
    <row r="28" spans="3:19" ht="15.75">
      <c r="C28" s="8" t="str">
        <f>"C.   Determine Income Taxes using Return with hypothetical "&amp;F13&amp;" basis point ROE increase for Identified Projects."</f>
        <v>C.   Determine Income Taxes using Return with hypothetical 0 basis point ROE increase for Identified Projects.</v>
      </c>
      <c r="D28" s="56"/>
      <c r="E28" s="56"/>
      <c r="F28" s="57"/>
      <c r="G28" s="57"/>
      <c r="H28" s="57"/>
      <c r="I28" s="57"/>
      <c r="J28" s="58"/>
      <c r="K28" s="58"/>
      <c r="L28" s="58"/>
      <c r="M28" s="58"/>
      <c r="N28" s="58">
        <f>+N18</f>
        <v>37381560.572083868</v>
      </c>
      <c r="O28" s="467"/>
      <c r="P28" s="57"/>
      <c r="Q28" s="58"/>
      <c r="R28" s="4"/>
      <c r="S28" s="1"/>
    </row>
    <row r="29" spans="3:19">
      <c r="C29" s="11"/>
      <c r="D29" s="16"/>
      <c r="E29" s="16"/>
      <c r="F29" s="47"/>
      <c r="G29" s="47"/>
      <c r="H29" s="47"/>
      <c r="I29" s="47"/>
      <c r="J29" s="37"/>
      <c r="K29" s="37"/>
      <c r="L29" s="37"/>
      <c r="M29" s="37"/>
      <c r="N29" s="492">
        <f>+N27-N28</f>
        <v>2422924.4587087631</v>
      </c>
      <c r="O29" s="37"/>
      <c r="P29" s="47"/>
      <c r="Q29" s="37"/>
      <c r="R29" s="4"/>
      <c r="S29" s="1"/>
    </row>
    <row r="30" spans="3:19">
      <c r="C30" s="17" t="s">
        <v>20</v>
      </c>
      <c r="D30" s="45"/>
      <c r="E30" s="59">
        <f>E26</f>
        <v>47696715.501536801</v>
      </c>
      <c r="F30" s="47"/>
      <c r="G30" s="47"/>
      <c r="H30" s="47"/>
      <c r="I30" s="47"/>
      <c r="J30" s="47"/>
      <c r="K30" s="47"/>
      <c r="L30" s="47"/>
      <c r="M30" s="47"/>
      <c r="N30" s="47"/>
      <c r="O30" s="47"/>
      <c r="P30" s="47"/>
      <c r="Q30" s="47"/>
      <c r="R30" s="4"/>
      <c r="S30" s="1"/>
    </row>
    <row r="31" spans="3:19">
      <c r="C31" s="11" t="str">
        <f>S113</f>
        <v xml:space="preserve">   Tax Rate  (TCOS, ln 99)</v>
      </c>
      <c r="D31" s="45"/>
      <c r="E31" s="60">
        <f>R113</f>
        <v>0.254714</v>
      </c>
      <c r="F31" s="47"/>
      <c r="G31" s="47"/>
      <c r="H31" s="47"/>
      <c r="I31" s="47"/>
      <c r="J31" s="47"/>
      <c r="K31" s="47"/>
      <c r="L31" s="47"/>
      <c r="M31" s="47"/>
      <c r="N31" s="47"/>
      <c r="O31" s="47"/>
      <c r="P31" s="47"/>
      <c r="Q31" s="47"/>
      <c r="R31" s="4"/>
      <c r="S31" s="4"/>
    </row>
    <row r="32" spans="3:19">
      <c r="C32" s="17" t="s">
        <v>21</v>
      </c>
      <c r="D32" s="2"/>
      <c r="E32" s="20">
        <f>IF(F17&gt;0,($E31/(1-$E31))*(1-$F17/$F20),0)</f>
        <v>0.25446299049778426</v>
      </c>
      <c r="F32" s="4"/>
      <c r="G32" s="4"/>
      <c r="H32" s="4"/>
      <c r="I32" s="112"/>
      <c r="J32" s="4"/>
      <c r="K32" s="4"/>
      <c r="L32" s="4"/>
      <c r="M32" s="4"/>
      <c r="N32" s="4"/>
      <c r="O32" s="4"/>
      <c r="P32" s="4"/>
      <c r="Q32" s="4"/>
      <c r="R32" s="4"/>
      <c r="S32" s="60"/>
    </row>
    <row r="33" spans="2:19">
      <c r="C33" s="432" t="s">
        <v>22</v>
      </c>
      <c r="D33" s="433"/>
      <c r="E33" s="434">
        <f>E30*E32</f>
        <v>12137048.863443078</v>
      </c>
      <c r="F33" s="4"/>
      <c r="G33" s="4"/>
      <c r="H33" s="4"/>
      <c r="I33" s="112"/>
      <c r="J33" s="4"/>
      <c r="K33" s="4"/>
      <c r="L33" s="4"/>
      <c r="M33" s="4"/>
      <c r="N33" s="4"/>
      <c r="O33" s="4"/>
      <c r="P33" s="4"/>
      <c r="Q33" s="4"/>
      <c r="R33" s="4"/>
      <c r="S33" s="4"/>
    </row>
    <row r="34" spans="2:19" ht="15">
      <c r="C34" s="11" t="str">
        <f>S114</f>
        <v xml:space="preserve">   ITC Adjustment  (TCOS, ln 108)</v>
      </c>
      <c r="D34" s="64"/>
      <c r="E34" s="66">
        <f>R114</f>
        <v>0</v>
      </c>
      <c r="F34" s="4"/>
      <c r="G34" s="4"/>
      <c r="H34" s="4"/>
      <c r="I34" s="112"/>
      <c r="J34" s="4"/>
      <c r="K34" s="4"/>
      <c r="L34" s="4"/>
      <c r="M34" s="4"/>
      <c r="N34" s="4"/>
      <c r="O34" s="4"/>
      <c r="P34" s="4"/>
      <c r="Q34" s="4"/>
      <c r="R34" s="4"/>
      <c r="S34" s="4"/>
    </row>
    <row r="35" spans="2:19">
      <c r="C35" s="484" t="s">
        <v>291</v>
      </c>
      <c r="D35" s="137"/>
      <c r="E35" s="485">
        <v>871276.53008375282</v>
      </c>
      <c r="F35" s="4"/>
      <c r="G35" s="4"/>
      <c r="H35" s="4"/>
      <c r="I35" s="112"/>
      <c r="J35" s="4"/>
      <c r="K35" s="4"/>
      <c r="L35" s="4"/>
      <c r="M35" s="4"/>
      <c r="N35" s="4"/>
      <c r="O35" s="4"/>
      <c r="P35" s="4"/>
      <c r="Q35" s="4"/>
      <c r="R35" s="4"/>
      <c r="S35" s="4"/>
    </row>
    <row r="36" spans="2:19" ht="15">
      <c r="C36" s="484" t="s">
        <v>292</v>
      </c>
      <c r="D36" s="64"/>
      <c r="E36" s="485">
        <v>237532.97391873723</v>
      </c>
      <c r="F36" s="64"/>
      <c r="G36" s="64"/>
      <c r="H36" s="64"/>
      <c r="I36" s="64"/>
      <c r="J36" s="64"/>
      <c r="K36" s="64"/>
      <c r="L36" s="64"/>
      <c r="M36" s="64"/>
      <c r="N36" s="64"/>
      <c r="O36" s="64"/>
      <c r="P36" s="465"/>
      <c r="Q36" s="64"/>
      <c r="R36" s="4"/>
      <c r="S36" s="4"/>
    </row>
    <row r="37" spans="2:19" ht="15">
      <c r="C37" s="432" t="s">
        <v>23</v>
      </c>
      <c r="D37" s="446"/>
      <c r="E37" s="447">
        <f>SUM(E33:E36)</f>
        <v>13245858.367445569</v>
      </c>
      <c r="F37" s="64"/>
      <c r="G37" s="64"/>
      <c r="H37" s="64"/>
      <c r="I37" s="64"/>
      <c r="J37" s="64"/>
      <c r="K37" s="64"/>
      <c r="L37" s="64"/>
      <c r="M37" s="64"/>
      <c r="N37" s="64"/>
      <c r="O37" s="64"/>
      <c r="P37" s="67"/>
      <c r="Q37" s="64"/>
      <c r="R37" s="4"/>
      <c r="S37" s="1"/>
    </row>
    <row r="38" spans="2:19" ht="12.75" customHeight="1">
      <c r="C38" s="68"/>
      <c r="D38" s="64"/>
      <c r="E38" s="64"/>
      <c r="F38" s="64"/>
      <c r="G38" s="64"/>
      <c r="H38" s="64"/>
      <c r="I38" s="64"/>
      <c r="J38" s="64"/>
      <c r="K38" s="64"/>
      <c r="L38" s="64"/>
      <c r="M38" s="64"/>
      <c r="N38" s="64"/>
      <c r="O38" s="64"/>
      <c r="P38" s="67"/>
      <c r="Q38" s="64"/>
      <c r="R38" s="4"/>
      <c r="S38" s="1"/>
    </row>
    <row r="39" spans="2:19" ht="18.75">
      <c r="B39" s="5" t="s">
        <v>24</v>
      </c>
      <c r="C39" s="69" t="str">
        <f>"Calculate Net Plant Carrying Charge Rate (Fixed Charge Rate or FCR) with hypothetical "&amp;F13&amp;" basis point"</f>
        <v>Calculate Net Plant Carrying Charge Rate (Fixed Charge Rate or FCR) with hypothetical 0 basis point</v>
      </c>
      <c r="D39" s="64"/>
      <c r="E39" s="64"/>
      <c r="F39" s="64"/>
      <c r="G39" s="64"/>
      <c r="H39" s="64"/>
      <c r="I39" s="64"/>
      <c r="J39" s="64"/>
      <c r="K39" s="64"/>
      <c r="L39" s="64"/>
      <c r="M39" s="64"/>
      <c r="N39" s="64"/>
      <c r="O39" s="64"/>
      <c r="P39" s="67"/>
      <c r="Q39" s="64"/>
      <c r="R39" s="4"/>
      <c r="S39" s="1"/>
    </row>
    <row r="40" spans="2:19" ht="18.75" customHeight="1">
      <c r="B40" s="5"/>
      <c r="C40" s="69" t="str">
        <f>"ROE increase."</f>
        <v>ROE increase.</v>
      </c>
      <c r="D40" s="64"/>
      <c r="E40" s="64"/>
      <c r="F40" s="64"/>
      <c r="G40" s="64"/>
      <c r="H40" s="64"/>
      <c r="I40" s="64"/>
      <c r="J40" s="64"/>
      <c r="K40" s="64"/>
      <c r="L40" s="64"/>
      <c r="M40" s="64"/>
      <c r="N40" s="64"/>
      <c r="O40" s="64"/>
      <c r="P40" s="67"/>
      <c r="Q40" s="64"/>
      <c r="R40" s="4"/>
      <c r="S40" s="1"/>
    </row>
    <row r="41" spans="2:19" ht="12.75" customHeight="1">
      <c r="C41" s="68"/>
      <c r="D41" s="64"/>
      <c r="E41" s="64"/>
      <c r="F41" s="64"/>
      <c r="G41" s="64"/>
      <c r="H41" s="64"/>
      <c r="I41" s="64"/>
      <c r="J41" s="64"/>
      <c r="K41" s="64"/>
      <c r="L41" s="64"/>
      <c r="M41" s="64"/>
      <c r="N41" s="64"/>
      <c r="O41" s="64"/>
      <c r="P41" s="67"/>
      <c r="Q41" s="64"/>
      <c r="R41" s="4"/>
      <c r="S41" s="1"/>
    </row>
    <row r="42" spans="2:19" ht="15.75">
      <c r="B42" s="1"/>
      <c r="C42" s="91" t="s">
        <v>240</v>
      </c>
      <c r="D42" s="71"/>
      <c r="E42" s="71"/>
      <c r="F42" s="71"/>
      <c r="G42" s="71"/>
      <c r="H42" s="71"/>
      <c r="I42" s="71"/>
      <c r="J42" s="71"/>
      <c r="K42" s="71"/>
      <c r="L42" s="71"/>
      <c r="M42" s="71"/>
      <c r="N42" s="71"/>
      <c r="O42" s="71"/>
      <c r="P42" s="66"/>
      <c r="Q42" s="71"/>
      <c r="R42" s="4"/>
      <c r="S42" s="1"/>
    </row>
    <row r="43" spans="2:19" ht="15.75">
      <c r="B43" s="1"/>
      <c r="C43" s="91"/>
      <c r="D43" s="71"/>
      <c r="E43" s="71"/>
      <c r="F43" s="71"/>
      <c r="G43" s="71"/>
      <c r="H43" s="71"/>
      <c r="I43" s="71"/>
      <c r="J43" s="71"/>
      <c r="K43" s="71"/>
      <c r="L43" s="71"/>
      <c r="M43" s="71"/>
      <c r="N43" s="71"/>
      <c r="O43" s="71"/>
      <c r="P43" s="66"/>
      <c r="Q43" s="71"/>
      <c r="R43" s="4"/>
      <c r="S43" s="1"/>
    </row>
    <row r="44" spans="2:19" ht="12.75" customHeight="1">
      <c r="B44" s="1"/>
      <c r="C44" s="11" t="str">
        <f>S117</f>
        <v xml:space="preserve">   Net Revenue Requirement  (TCOS, ln 117)</v>
      </c>
      <c r="D44" s="71"/>
      <c r="E44" s="71"/>
      <c r="F44" s="66">
        <f>R117</f>
        <v>106331210.17096005</v>
      </c>
      <c r="G44" s="66"/>
      <c r="H44" s="71"/>
      <c r="I44" s="71"/>
      <c r="J44" s="71"/>
      <c r="K44" s="71"/>
      <c r="L44" s="71"/>
      <c r="M44" s="71"/>
      <c r="N44" s="71"/>
      <c r="O44" s="71"/>
      <c r="P44" s="66"/>
      <c r="Q44" s="71"/>
      <c r="R44" s="4"/>
      <c r="S44" s="1"/>
    </row>
    <row r="45" spans="2:19">
      <c r="B45" s="1"/>
      <c r="C45" s="11" t="str">
        <f>S118</f>
        <v xml:space="preserve">   Return  (TCOS, ln 112)</v>
      </c>
      <c r="D45" s="71"/>
      <c r="E45" s="71"/>
      <c r="F45" s="66">
        <f>R118</f>
        <v>47696715.501536801</v>
      </c>
      <c r="G45" s="72"/>
      <c r="H45" s="73"/>
      <c r="I45" s="73"/>
      <c r="J45" s="73"/>
      <c r="K45" s="73"/>
      <c r="L45" s="73"/>
      <c r="M45" s="73"/>
      <c r="N45" s="73"/>
      <c r="O45" s="73"/>
      <c r="P45" s="66"/>
      <c r="Q45" s="73"/>
      <c r="R45" s="4"/>
      <c r="S45" s="1"/>
    </row>
    <row r="46" spans="2:19">
      <c r="B46" s="1"/>
      <c r="C46" s="11" t="str">
        <f>S119</f>
        <v xml:space="preserve">   Income Taxes  (TCOS, ln 111)</v>
      </c>
      <c r="D46" s="71"/>
      <c r="E46" s="71"/>
      <c r="F46" s="66">
        <f>R119</f>
        <v>13245858.367445569</v>
      </c>
      <c r="G46" s="66"/>
      <c r="H46" s="71"/>
      <c r="I46" s="71"/>
      <c r="J46" s="74"/>
      <c r="K46" s="74"/>
      <c r="L46" s="74"/>
      <c r="M46" s="74"/>
      <c r="N46" s="74"/>
      <c r="O46" s="74"/>
      <c r="P46" s="71"/>
      <c r="Q46" s="74"/>
      <c r="R46" s="4"/>
      <c r="S46" s="1"/>
    </row>
    <row r="47" spans="2:19">
      <c r="B47" s="1"/>
      <c r="C47" s="11" t="str">
        <f>S120</f>
        <v xml:space="preserve">  Gross Margin Taxes  (TCOS, ln 116)</v>
      </c>
      <c r="D47" s="71"/>
      <c r="E47" s="71"/>
      <c r="F47" s="65">
        <f>R120</f>
        <v>0</v>
      </c>
      <c r="G47" s="66"/>
      <c r="H47" s="71"/>
      <c r="I47" s="71"/>
      <c r="J47" s="74"/>
      <c r="K47" s="74"/>
      <c r="L47" s="74"/>
      <c r="M47" s="74"/>
      <c r="N47" s="74"/>
      <c r="O47" s="74"/>
      <c r="P47" s="71"/>
      <c r="Q47" s="74"/>
      <c r="R47" s="4"/>
      <c r="S47" s="1"/>
    </row>
    <row r="48" spans="2:19">
      <c r="B48" s="1"/>
      <c r="C48" s="23" t="s">
        <v>25</v>
      </c>
      <c r="D48" s="71"/>
      <c r="E48" s="71"/>
      <c r="F48" s="72">
        <f>F44-F45-F46-F47</f>
        <v>45388636.301977679</v>
      </c>
      <c r="G48" s="72"/>
      <c r="H48" s="75"/>
      <c r="I48" s="71"/>
      <c r="J48" s="75"/>
      <c r="K48" s="75"/>
      <c r="L48" s="75"/>
      <c r="M48" s="75"/>
      <c r="N48" s="75"/>
      <c r="O48" s="75"/>
      <c r="P48" s="75"/>
      <c r="Q48" s="75"/>
      <c r="R48" s="4"/>
      <c r="S48" s="1"/>
    </row>
    <row r="49" spans="2:19">
      <c r="B49" s="1"/>
      <c r="C49" s="70"/>
      <c r="D49" s="71"/>
      <c r="E49" s="71"/>
      <c r="F49" s="66"/>
      <c r="G49" s="66"/>
      <c r="H49" s="76"/>
      <c r="I49" s="77"/>
      <c r="J49" s="77"/>
      <c r="K49" s="77"/>
      <c r="L49" s="77"/>
      <c r="M49" s="77"/>
      <c r="N49" s="77"/>
      <c r="O49" s="77"/>
      <c r="P49" s="77"/>
      <c r="Q49" s="77"/>
      <c r="R49" s="4"/>
      <c r="S49" s="1"/>
    </row>
    <row r="50" spans="2:19" ht="15.75">
      <c r="B50" s="1"/>
      <c r="C50" s="8" t="str">
        <f>"B.   Determine Net Revenue Requirement with hypothetical "&amp;F13&amp;" basis point increase in ROE."</f>
        <v>B.   Determine Net Revenue Requirement with hypothetical 0 basis point increase in ROE.</v>
      </c>
      <c r="D50" s="78"/>
      <c r="E50" s="78"/>
      <c r="F50" s="66"/>
      <c r="G50" s="66"/>
      <c r="H50" s="76"/>
      <c r="I50" s="77"/>
      <c r="J50" s="77"/>
      <c r="K50" s="77"/>
      <c r="L50" s="77"/>
      <c r="M50" s="77"/>
      <c r="N50" s="77"/>
      <c r="O50" s="77"/>
      <c r="P50" s="77"/>
      <c r="Q50" s="77"/>
      <c r="R50" s="4"/>
      <c r="S50" s="1"/>
    </row>
    <row r="51" spans="2:19">
      <c r="B51" s="1"/>
      <c r="C51" s="70"/>
      <c r="D51" s="78"/>
      <c r="E51" s="78"/>
      <c r="F51" s="66"/>
      <c r="G51" s="66"/>
      <c r="H51" s="76"/>
      <c r="I51" s="77"/>
      <c r="J51" s="77"/>
      <c r="K51" s="77"/>
      <c r="L51" s="77"/>
      <c r="M51" s="77"/>
      <c r="N51" s="77"/>
      <c r="O51" s="77"/>
      <c r="P51" s="77"/>
      <c r="Q51" s="77"/>
      <c r="R51" s="4"/>
      <c r="S51" s="1"/>
    </row>
    <row r="52" spans="2:19">
      <c r="B52" s="1"/>
      <c r="C52" s="70" t="str">
        <f>C48</f>
        <v xml:space="preserve">   Net Revenue Requirement, Less Return and Taxes</v>
      </c>
      <c r="D52" s="78"/>
      <c r="E52" s="78"/>
      <c r="F52" s="66">
        <f>F48</f>
        <v>45388636.301977679</v>
      </c>
      <c r="G52" s="66"/>
      <c r="H52" s="71"/>
      <c r="I52" s="71"/>
      <c r="J52" s="71"/>
      <c r="K52" s="71"/>
      <c r="L52" s="71"/>
      <c r="M52" s="71"/>
      <c r="N52" s="71"/>
      <c r="O52" s="71"/>
      <c r="P52" s="81"/>
      <c r="Q52" s="71"/>
      <c r="R52" s="4"/>
      <c r="S52" s="1"/>
    </row>
    <row r="53" spans="2:19">
      <c r="B53" s="1"/>
      <c r="C53" s="17" t="s">
        <v>92</v>
      </c>
      <c r="D53" s="83"/>
      <c r="E53" s="23"/>
      <c r="F53" s="84">
        <f>E26</f>
        <v>47696715.501536801</v>
      </c>
      <c r="G53" s="84"/>
      <c r="H53" s="23"/>
      <c r="I53" s="85"/>
      <c r="J53" s="23"/>
      <c r="K53" s="23"/>
      <c r="L53" s="23"/>
      <c r="M53" s="23"/>
      <c r="N53" s="23"/>
      <c r="O53" s="23"/>
      <c r="P53" s="23"/>
      <c r="Q53" s="23"/>
      <c r="R53" s="4"/>
      <c r="S53" s="1"/>
    </row>
    <row r="54" spans="2:19" ht="12.75" customHeight="1">
      <c r="B54" s="1"/>
      <c r="C54" s="11" t="s">
        <v>26</v>
      </c>
      <c r="D54" s="71"/>
      <c r="E54" s="71"/>
      <c r="F54" s="191">
        <f>E37</f>
        <v>13245858.367445569</v>
      </c>
      <c r="G54" s="86"/>
      <c r="H54" s="1"/>
      <c r="I54" s="3"/>
      <c r="J54" s="1"/>
      <c r="K54" s="4"/>
      <c r="L54" s="1"/>
      <c r="M54" s="1"/>
      <c r="N54" s="1"/>
      <c r="O54" s="1"/>
      <c r="P54" s="1"/>
      <c r="Q54" s="4"/>
      <c r="R54" s="4"/>
      <c r="S54" s="1"/>
    </row>
    <row r="55" spans="2:19">
      <c r="B55" s="1"/>
      <c r="C55" s="23" t="str">
        <f>"   Net Revenue Requirement, with "&amp;F13&amp;" Basis Point ROE increase"</f>
        <v xml:space="preserve">   Net Revenue Requirement, with 0 Basis Point ROE increase</v>
      </c>
      <c r="D55" s="2"/>
      <c r="E55" s="1"/>
      <c r="F55" s="62">
        <f>SUM(F52:F54)</f>
        <v>106331210.17096005</v>
      </c>
      <c r="G55" s="62"/>
      <c r="H55" s="1"/>
      <c r="I55" s="3"/>
      <c r="J55" s="1"/>
      <c r="K55" s="4"/>
      <c r="L55" s="1"/>
      <c r="M55" s="1"/>
      <c r="N55" s="1"/>
      <c r="O55" s="1"/>
      <c r="P55" s="1"/>
      <c r="Q55" s="4"/>
      <c r="R55" s="4"/>
      <c r="S55" s="1"/>
    </row>
    <row r="56" spans="2:19">
      <c r="B56" s="1"/>
      <c r="C56" s="63" t="str">
        <f>"   Gross Margin Tax with "&amp;F13&amp;" Basis Point ROE Increase (II C. below)"</f>
        <v xml:space="preserve">   Gross Margin Tax with 0 Basis Point ROE Increase (II C. below)</v>
      </c>
      <c r="D56" s="87"/>
      <c r="E56" s="87"/>
      <c r="F56" s="88">
        <f>+F71</f>
        <v>0</v>
      </c>
      <c r="G56" s="84"/>
      <c r="H56" s="1"/>
      <c r="I56" s="3"/>
      <c r="J56" s="1"/>
      <c r="K56" s="4"/>
      <c r="L56" s="1"/>
      <c r="M56" s="1"/>
      <c r="N56" s="1"/>
      <c r="O56" s="1"/>
      <c r="P56" s="1"/>
      <c r="Q56" s="4"/>
      <c r="R56" s="4"/>
      <c r="S56" s="1"/>
    </row>
    <row r="57" spans="2:19">
      <c r="B57" s="1"/>
      <c r="C57" s="23" t="s">
        <v>27</v>
      </c>
      <c r="D57" s="2"/>
      <c r="E57" s="1"/>
      <c r="F57" s="89">
        <f>+F55+F56</f>
        <v>106331210.17096005</v>
      </c>
      <c r="G57" s="89"/>
      <c r="H57" s="1"/>
      <c r="I57" s="3"/>
      <c r="J57" s="1"/>
      <c r="K57" s="4"/>
      <c r="L57" s="1"/>
      <c r="M57" s="1"/>
      <c r="N57" s="1"/>
      <c r="O57" s="1"/>
      <c r="P57" s="1"/>
      <c r="Q57" s="4"/>
      <c r="R57" s="4"/>
      <c r="S57" s="1"/>
    </row>
    <row r="58" spans="2:19">
      <c r="B58" s="1"/>
      <c r="C58" s="11" t="str">
        <f>S121</f>
        <v xml:space="preserve">   Less: Depreciation  (TCOS, ln 86)</v>
      </c>
      <c r="D58" s="2"/>
      <c r="E58" s="1"/>
      <c r="F58" s="90">
        <f>R121</f>
        <v>23558454.32178659</v>
      </c>
      <c r="G58" s="90"/>
      <c r="H58" s="1"/>
      <c r="I58" s="3"/>
      <c r="J58" s="1"/>
      <c r="K58" s="4"/>
      <c r="L58" s="1"/>
      <c r="M58" s="1"/>
      <c r="N58" s="1"/>
      <c r="O58" s="1"/>
      <c r="P58" s="1"/>
      <c r="Q58" s="4"/>
      <c r="R58" s="4"/>
      <c r="S58" s="1"/>
    </row>
    <row r="59" spans="2:19">
      <c r="B59" s="1"/>
      <c r="C59" s="23" t="str">
        <f>"   Net Rev. Req, w/"&amp;F13&amp;" Basis Point ROE increase, less Depreciation"</f>
        <v xml:space="preserve">   Net Rev. Req, w/0 Basis Point ROE increase, less Depreciation</v>
      </c>
      <c r="D59" s="2"/>
      <c r="E59" s="1"/>
      <c r="F59" s="62">
        <f>F57-F58</f>
        <v>82772755.849173456</v>
      </c>
      <c r="G59" s="62"/>
      <c r="H59" s="1"/>
      <c r="I59" s="3"/>
      <c r="J59" s="1"/>
      <c r="K59" s="4"/>
      <c r="L59" s="1"/>
      <c r="M59" s="1"/>
      <c r="N59" s="1"/>
      <c r="O59" s="1"/>
      <c r="P59" s="1"/>
      <c r="Q59" s="4"/>
      <c r="R59" s="4"/>
      <c r="S59" s="1"/>
    </row>
    <row r="60" spans="2:19">
      <c r="B60" s="1"/>
      <c r="C60" s="1"/>
      <c r="D60" s="2"/>
      <c r="E60" s="1"/>
      <c r="F60" s="1"/>
      <c r="G60" s="1"/>
      <c r="H60" s="1"/>
      <c r="I60" s="3"/>
      <c r="J60" s="1"/>
      <c r="K60" s="4"/>
      <c r="L60" s="1"/>
      <c r="M60" s="1"/>
      <c r="N60" s="1"/>
      <c r="O60" s="1"/>
      <c r="P60" s="1"/>
      <c r="Q60" s="4"/>
      <c r="R60" s="4"/>
      <c r="S60" s="1"/>
    </row>
    <row r="61" spans="2:19" ht="15.75">
      <c r="B61" s="1"/>
      <c r="C61" s="91" t="str">
        <f>"C.   Determine Gross Margin Tax with hypothetical "&amp;F13&amp;" basis point increase in ROE."</f>
        <v>C.   Determine Gross Margin Tax with hypothetical 0 basis point increase in ROE.</v>
      </c>
      <c r="D61" s="92"/>
      <c r="E61" s="92"/>
      <c r="F61" s="93"/>
      <c r="G61" s="93"/>
      <c r="H61" s="19"/>
      <c r="I61" s="3"/>
      <c r="J61" s="1"/>
      <c r="K61" s="4"/>
      <c r="L61" s="1"/>
      <c r="M61" s="1"/>
      <c r="N61" s="1"/>
      <c r="O61" s="1"/>
      <c r="P61" s="1"/>
      <c r="Q61" s="4"/>
      <c r="R61" s="4"/>
      <c r="S61" s="1"/>
    </row>
    <row r="62" spans="2:19">
      <c r="B62" s="1"/>
      <c r="C62" s="63" t="str">
        <f>"   Net Revenue Requirement before Gross Margin Taxes, with "&amp;F13&amp;" "</f>
        <v xml:space="preserve">   Net Revenue Requirement before Gross Margin Taxes, with 0 </v>
      </c>
      <c r="D62" s="92"/>
      <c r="E62" s="92"/>
      <c r="F62" s="93">
        <f>+F55</f>
        <v>106331210.17096005</v>
      </c>
      <c r="G62" s="93"/>
      <c r="H62" s="19"/>
      <c r="I62" s="3"/>
      <c r="J62" s="1"/>
      <c r="K62" s="4"/>
      <c r="L62" s="1"/>
      <c r="M62" s="1"/>
      <c r="N62" s="1"/>
      <c r="O62" s="1"/>
      <c r="P62" s="1"/>
      <c r="Q62" s="4"/>
      <c r="R62" s="4"/>
      <c r="S62" s="1"/>
    </row>
    <row r="63" spans="2:19">
      <c r="B63" s="1"/>
      <c r="C63" s="63" t="s">
        <v>28</v>
      </c>
      <c r="D63" s="92"/>
      <c r="E63" s="92"/>
      <c r="F63" s="93"/>
      <c r="G63" s="93"/>
      <c r="H63" s="19"/>
      <c r="I63" s="3"/>
      <c r="J63" s="1"/>
      <c r="K63" s="4"/>
      <c r="L63" s="1"/>
      <c r="M63" s="1"/>
      <c r="N63" s="1"/>
      <c r="O63" s="1"/>
      <c r="P63" s="1"/>
      <c r="Q63" s="4"/>
      <c r="R63" s="4"/>
      <c r="S63" s="1"/>
    </row>
    <row r="64" spans="2:19">
      <c r="B64" s="1"/>
      <c r="C64" s="23" t="str">
        <f>S120</f>
        <v xml:space="preserve">  Gross Margin Taxes  (TCOS, ln 116)</v>
      </c>
      <c r="D64" s="61"/>
      <c r="E64" s="19"/>
      <c r="F64" s="95">
        <f>R120</f>
        <v>0</v>
      </c>
      <c r="G64" s="144"/>
      <c r="H64" s="19"/>
      <c r="I64" s="3"/>
      <c r="J64" s="1"/>
      <c r="K64" s="4"/>
      <c r="L64" s="1"/>
      <c r="M64" s="1"/>
      <c r="N64" s="1"/>
      <c r="O64" s="1"/>
      <c r="P64" s="1"/>
      <c r="Q64" s="4"/>
      <c r="R64" s="4"/>
      <c r="S64" s="1"/>
    </row>
    <row r="65" spans="2:19">
      <c r="B65" s="1"/>
      <c r="C65" s="23" t="s">
        <v>29</v>
      </c>
      <c r="D65" s="61"/>
      <c r="E65" s="19"/>
      <c r="F65" s="93">
        <f>+F64*F62</f>
        <v>0</v>
      </c>
      <c r="G65" s="93"/>
      <c r="H65" s="19"/>
      <c r="I65" s="3"/>
      <c r="J65" s="1"/>
      <c r="K65" s="4"/>
      <c r="L65" s="1"/>
      <c r="M65" s="1"/>
      <c r="N65" s="1"/>
      <c r="O65" s="1"/>
      <c r="P65" s="1"/>
      <c r="Q65" s="4"/>
      <c r="R65" s="4"/>
      <c r="S65" s="1"/>
    </row>
    <row r="66" spans="2:19">
      <c r="B66" s="1"/>
      <c r="C66" s="23" t="str">
        <f>+OKT.WS.F.BPU.ATRR.Projected!C64</f>
        <v xml:space="preserve">       Taxable Percentage of Revenue (22%)</v>
      </c>
      <c r="D66" s="61"/>
      <c r="E66" s="19"/>
      <c r="F66" s="96">
        <f>+OKT.WS.F.BPU.ATRR.Projected!F64</f>
        <v>0.22</v>
      </c>
      <c r="G66" s="192"/>
      <c r="H66" s="19"/>
      <c r="I66" s="3"/>
      <c r="J66" s="1"/>
      <c r="K66" s="4"/>
      <c r="L66" s="1"/>
      <c r="M66" s="1"/>
      <c r="N66" s="1"/>
      <c r="O66" s="1"/>
      <c r="P66" s="1"/>
      <c r="Q66" s="4"/>
      <c r="R66" s="4"/>
      <c r="S66" s="1"/>
    </row>
    <row r="67" spans="2:19">
      <c r="B67" s="1"/>
      <c r="C67" s="23" t="s">
        <v>30</v>
      </c>
      <c r="D67" s="61"/>
      <c r="E67" s="19"/>
      <c r="F67" s="93">
        <f>+F65*F66</f>
        <v>0</v>
      </c>
      <c r="G67" s="93"/>
      <c r="H67" s="19"/>
      <c r="I67" s="3"/>
      <c r="J67" s="1"/>
      <c r="K67" s="4"/>
      <c r="L67" s="1"/>
      <c r="M67" s="1"/>
      <c r="N67" s="1"/>
      <c r="O67" s="1"/>
      <c r="P67" s="1"/>
      <c r="Q67" s="4"/>
      <c r="R67" s="4"/>
      <c r="S67" s="1"/>
    </row>
    <row r="68" spans="2:19">
      <c r="B68" s="1"/>
      <c r="C68" s="23" t="s">
        <v>31</v>
      </c>
      <c r="D68" s="61"/>
      <c r="E68" s="19"/>
      <c r="F68" s="96">
        <v>0.01</v>
      </c>
      <c r="G68" s="192"/>
      <c r="H68" s="19"/>
      <c r="I68" s="3"/>
      <c r="J68" s="1"/>
      <c r="K68" s="4"/>
      <c r="L68" s="1"/>
      <c r="M68" s="1"/>
      <c r="N68" s="1"/>
      <c r="O68" s="1"/>
      <c r="P68" s="1"/>
      <c r="Q68" s="4"/>
      <c r="R68" s="4"/>
      <c r="S68" s="1"/>
    </row>
    <row r="69" spans="2:19">
      <c r="B69" s="1"/>
      <c r="C69" s="23" t="s">
        <v>32</v>
      </c>
      <c r="D69" s="61"/>
      <c r="E69" s="19"/>
      <c r="F69" s="93">
        <f>+F67*F68</f>
        <v>0</v>
      </c>
      <c r="G69" s="93"/>
      <c r="H69" s="19"/>
      <c r="I69" s="3"/>
      <c r="J69" s="1"/>
      <c r="K69" s="4"/>
      <c r="L69" s="1"/>
      <c r="M69" s="1"/>
      <c r="N69" s="1"/>
      <c r="O69" s="1"/>
      <c r="P69" s="1"/>
      <c r="Q69" s="4"/>
      <c r="R69" s="4"/>
      <c r="S69" s="1"/>
    </row>
    <row r="70" spans="2:19">
      <c r="B70" s="1"/>
      <c r="C70" s="23" t="s">
        <v>33</v>
      </c>
      <c r="D70" s="61"/>
      <c r="E70" s="19"/>
      <c r="F70" s="97">
        <f>+ROUND((F69*F66*F64)/(1-F68)*F68,0)</f>
        <v>0</v>
      </c>
      <c r="G70" s="193"/>
      <c r="H70" s="19"/>
      <c r="I70" s="3"/>
      <c r="J70" s="1"/>
      <c r="K70" s="4"/>
      <c r="L70" s="1"/>
      <c r="M70" s="1"/>
      <c r="N70" s="1"/>
      <c r="O70" s="1"/>
      <c r="P70" s="1"/>
      <c r="Q70" s="4"/>
      <c r="R70" s="4"/>
      <c r="S70" s="1"/>
    </row>
    <row r="71" spans="2:19">
      <c r="B71" s="1"/>
      <c r="C71" s="23" t="s">
        <v>34</v>
      </c>
      <c r="D71" s="61"/>
      <c r="E71" s="19"/>
      <c r="F71" s="93">
        <f>+F69+F70</f>
        <v>0</v>
      </c>
      <c r="G71" s="93"/>
      <c r="H71" s="19"/>
      <c r="I71" s="3"/>
      <c r="J71" s="1"/>
      <c r="K71" s="4"/>
      <c r="L71" s="1"/>
      <c r="M71" s="1"/>
      <c r="N71" s="1"/>
      <c r="O71" s="1"/>
      <c r="P71" s="1"/>
      <c r="Q71" s="4"/>
      <c r="R71" s="4"/>
      <c r="S71" s="1"/>
    </row>
    <row r="72" spans="2:19">
      <c r="B72" s="1"/>
      <c r="C72" s="1"/>
      <c r="D72" s="2"/>
      <c r="E72" s="1"/>
      <c r="F72" s="1"/>
      <c r="G72" s="1"/>
      <c r="H72" s="1"/>
      <c r="I72" s="3"/>
      <c r="J72" s="1"/>
      <c r="K72" s="4"/>
      <c r="L72" s="1"/>
      <c r="M72" s="1"/>
      <c r="N72" s="1"/>
      <c r="O72" s="1"/>
      <c r="P72" s="1"/>
      <c r="Q72" s="4"/>
      <c r="R72" s="4"/>
      <c r="S72" s="1"/>
    </row>
    <row r="73" spans="2:19" ht="15.75">
      <c r="B73" s="1"/>
      <c r="C73" s="8" t="str">
        <f>"D.   Determine FCR with hypothetical "&amp;F13&amp;" basis point ROE increase."</f>
        <v>D.   Determine FCR with hypothetical 0 basis point ROE increase.</v>
      </c>
      <c r="D73" s="2"/>
      <c r="E73" s="1"/>
      <c r="F73" s="1"/>
      <c r="G73" s="1"/>
      <c r="H73" s="1"/>
      <c r="I73" s="10"/>
      <c r="J73" s="1"/>
      <c r="K73" s="4"/>
      <c r="L73" s="1"/>
      <c r="M73" s="1"/>
      <c r="N73" s="1"/>
      <c r="O73" s="1"/>
      <c r="P73" s="1"/>
      <c r="Q73" s="4"/>
      <c r="R73" s="4"/>
      <c r="S73" s="1"/>
    </row>
    <row r="74" spans="2:19">
      <c r="B74" s="1"/>
      <c r="C74" s="1"/>
      <c r="D74" s="2"/>
      <c r="E74" s="1"/>
      <c r="F74" s="1"/>
      <c r="G74" s="1"/>
      <c r="H74" s="1"/>
      <c r="I74" s="3"/>
      <c r="J74" s="1"/>
      <c r="K74" s="4"/>
      <c r="L74" s="1"/>
      <c r="M74" s="1"/>
      <c r="N74" s="1"/>
      <c r="O74" s="1"/>
      <c r="P74" s="1"/>
      <c r="Q74" s="4"/>
      <c r="R74" s="4"/>
      <c r="S74" s="1"/>
    </row>
    <row r="75" spans="2:19">
      <c r="B75" s="1"/>
      <c r="C75" s="70" t="str">
        <f>S123</f>
        <v xml:space="preserve">   Net Transmission Plant  (TCOS, ln 37)</v>
      </c>
      <c r="D75" s="2"/>
      <c r="E75" s="1"/>
      <c r="F75" s="62">
        <f>R123</f>
        <v>784111741.96500003</v>
      </c>
      <c r="G75" s="62"/>
      <c r="I75" s="10"/>
      <c r="J75" s="1"/>
      <c r="K75" s="4"/>
      <c r="L75" s="1"/>
      <c r="M75" s="1"/>
      <c r="N75" s="1"/>
      <c r="O75" s="1"/>
      <c r="P75" s="1"/>
      <c r="Q75" s="4"/>
      <c r="R75" s="4"/>
      <c r="S75" s="1"/>
    </row>
    <row r="76" spans="2:19" ht="15">
      <c r="B76" s="1"/>
      <c r="C76" s="23" t="str">
        <f>"   Net Revenue Requirement, with "&amp;F13&amp;" Basis Point ROE increase"</f>
        <v xml:space="preserve">   Net Revenue Requirement, with 0 Basis Point ROE increase</v>
      </c>
      <c r="D76" s="2"/>
      <c r="E76" s="1"/>
      <c r="F76" s="194">
        <f>+F57</f>
        <v>106331210.17096005</v>
      </c>
      <c r="G76" s="194"/>
      <c r="I76" s="10"/>
      <c r="J76" s="1"/>
      <c r="K76" s="4"/>
      <c r="L76" s="1"/>
      <c r="M76" s="1"/>
      <c r="N76" s="1"/>
      <c r="O76" s="1"/>
      <c r="P76" s="1"/>
      <c r="Q76" s="4"/>
      <c r="R76" s="4"/>
      <c r="S76" s="1"/>
    </row>
    <row r="77" spans="2:19">
      <c r="B77" s="1"/>
      <c r="C77" s="23" t="str">
        <f>"   FCR with "&amp;F13&amp;" Basis Point increase in ROE"</f>
        <v xml:space="preserve">   FCR with 0 Basis Point increase in ROE</v>
      </c>
      <c r="D77" s="2"/>
      <c r="E77" s="1"/>
      <c r="F77" s="100">
        <f>IF(F75=0,0,F76/F75)</f>
        <v>0.1356072157579121</v>
      </c>
      <c r="G77" s="100"/>
      <c r="I77" s="10"/>
      <c r="J77" s="1"/>
      <c r="K77" s="4"/>
      <c r="L77" s="1"/>
      <c r="M77" s="1"/>
      <c r="N77" s="1"/>
      <c r="O77" s="1"/>
      <c r="P77" s="1"/>
      <c r="Q77" s="4"/>
      <c r="R77" s="4"/>
      <c r="S77" s="1"/>
    </row>
    <row r="78" spans="2:19">
      <c r="B78" s="1"/>
      <c r="D78" s="2"/>
      <c r="E78" s="1"/>
      <c r="F78" s="19"/>
      <c r="G78" s="19"/>
      <c r="H78" s="195"/>
      <c r="I78" s="10"/>
      <c r="J78" s="1"/>
      <c r="K78" s="4"/>
      <c r="L78" s="1"/>
      <c r="M78" s="1"/>
      <c r="N78" s="1"/>
      <c r="O78" s="1"/>
      <c r="P78" s="1"/>
      <c r="Q78" s="4"/>
      <c r="R78" s="4"/>
      <c r="S78" s="1"/>
    </row>
    <row r="79" spans="2:19">
      <c r="B79" s="1"/>
      <c r="C79" s="23" t="str">
        <f>"   Net Rev. Req, w / "&amp;F13&amp;" Basis Point ROE increase, less Dep."</f>
        <v xml:space="preserve">   Net Rev. Req, w / 0 Basis Point ROE increase, less Dep.</v>
      </c>
      <c r="D79" s="2"/>
      <c r="E79" s="1"/>
      <c r="F79" s="62">
        <f>+F59</f>
        <v>82772755.849173456</v>
      </c>
      <c r="G79" s="62"/>
      <c r="I79" s="10"/>
      <c r="J79" s="1"/>
      <c r="K79" s="4"/>
      <c r="L79" s="1"/>
      <c r="M79" s="1"/>
      <c r="N79" s="1"/>
      <c r="O79" s="1"/>
      <c r="P79" s="1"/>
      <c r="Q79" s="4"/>
      <c r="R79" s="4"/>
      <c r="S79" s="1"/>
    </row>
    <row r="80" spans="2:19">
      <c r="B80" s="1"/>
      <c r="C80" s="23" t="str">
        <f>"   FCR with "&amp;F13&amp;" Basis Point ROE increase, less Depreciation"</f>
        <v xml:space="preserve">   FCR with 0 Basis Point ROE increase, less Depreciation</v>
      </c>
      <c r="D80" s="2"/>
      <c r="E80" s="1"/>
      <c r="F80" s="100">
        <f>IF(F75=0,0,F79/F75)</f>
        <v>0.10556244909908279</v>
      </c>
      <c r="G80" s="100"/>
      <c r="H80" s="98"/>
      <c r="I80" s="10"/>
      <c r="J80" s="1"/>
      <c r="K80" s="4"/>
      <c r="L80" s="1"/>
      <c r="M80" s="1"/>
      <c r="N80" s="1"/>
      <c r="O80" s="1"/>
      <c r="P80" s="1"/>
      <c r="Q80" s="4"/>
      <c r="R80" s="4"/>
      <c r="S80" s="1"/>
    </row>
    <row r="81" spans="2:19">
      <c r="B81" s="1"/>
      <c r="C81" s="70" t="str">
        <f>S124</f>
        <v xml:space="preserve">   FCR less Depreciation  (TCOS, ln 10)</v>
      </c>
      <c r="D81" s="2"/>
      <c r="E81" s="1"/>
      <c r="F81" s="101">
        <f>R124</f>
        <v>0.10556244909908279</v>
      </c>
      <c r="G81" s="101"/>
      <c r="H81" s="196"/>
      <c r="I81" s="10"/>
      <c r="J81" s="1"/>
      <c r="K81" s="4"/>
      <c r="L81" s="1"/>
      <c r="M81" s="1"/>
      <c r="N81" s="1"/>
      <c r="O81" s="1"/>
      <c r="P81" s="1"/>
      <c r="Q81" s="4"/>
      <c r="R81" s="4"/>
      <c r="S81" s="1"/>
    </row>
    <row r="82" spans="2:19">
      <c r="B82" s="1"/>
      <c r="C82" s="23" t="str">
        <f>"   Incremental FCR with "&amp;F13&amp;" Basis Point ROE increase, less Depreciation"</f>
        <v xml:space="preserve">   Incremental FCR with 0 Basis Point ROE increase, less Depreciation</v>
      </c>
      <c r="D82" s="2"/>
      <c r="E82" s="1"/>
      <c r="F82" s="100">
        <f>F80-F81</f>
        <v>0</v>
      </c>
      <c r="G82" s="100"/>
      <c r="I82" s="10"/>
      <c r="J82" s="1"/>
      <c r="K82" s="4"/>
      <c r="L82" s="1"/>
      <c r="M82" s="1"/>
      <c r="N82" s="1"/>
      <c r="O82" s="1"/>
      <c r="P82" s="1"/>
      <c r="Q82" s="4"/>
      <c r="R82" s="4"/>
      <c r="S82" s="1"/>
    </row>
    <row r="83" spans="2:19">
      <c r="B83" s="1"/>
      <c r="C83" s="23"/>
      <c r="D83" s="2"/>
      <c r="E83" s="1"/>
      <c r="F83" s="100"/>
      <c r="G83" s="100"/>
      <c r="H83" s="1"/>
      <c r="I83" s="3"/>
      <c r="J83" s="1"/>
      <c r="K83" s="4"/>
      <c r="L83" s="1"/>
      <c r="M83" s="1"/>
      <c r="N83" s="1"/>
      <c r="O83" s="1"/>
      <c r="P83" s="1"/>
      <c r="Q83" s="4"/>
      <c r="R83" s="4"/>
      <c r="S83" s="1"/>
    </row>
    <row r="84" spans="2:19" ht="18.75">
      <c r="B84" s="5" t="s">
        <v>35</v>
      </c>
      <c r="C84" s="69" t="s">
        <v>36</v>
      </c>
      <c r="D84" s="2"/>
      <c r="E84" s="1"/>
      <c r="F84" s="100"/>
      <c r="G84" s="100"/>
      <c r="H84" s="1"/>
      <c r="I84" s="3"/>
      <c r="J84" s="1"/>
      <c r="K84" s="4"/>
      <c r="L84" s="1"/>
      <c r="M84" s="1"/>
      <c r="N84" s="1"/>
      <c r="O84" s="1"/>
      <c r="P84" s="1"/>
      <c r="Q84" s="4"/>
      <c r="R84" s="4"/>
      <c r="S84" s="1"/>
    </row>
    <row r="85" spans="2:19" ht="12.75" customHeight="1">
      <c r="B85" s="5"/>
      <c r="C85" s="69"/>
      <c r="D85" s="2"/>
      <c r="E85" s="1"/>
      <c r="F85" s="100"/>
      <c r="G85" s="100"/>
      <c r="H85" s="1"/>
      <c r="I85" s="3"/>
      <c r="J85" s="1"/>
      <c r="K85" s="4"/>
      <c r="L85" s="1"/>
      <c r="M85" s="1"/>
      <c r="N85" s="1"/>
      <c r="O85" s="1"/>
      <c r="P85" s="1"/>
      <c r="Q85" s="4"/>
      <c r="R85" s="4"/>
      <c r="S85" s="1"/>
    </row>
    <row r="86" spans="2:19" ht="12.75" customHeight="1">
      <c r="B86" s="5"/>
      <c r="C86" s="23" t="s">
        <v>37</v>
      </c>
      <c r="D86" s="2"/>
      <c r="F86" s="413">
        <v>849082429</v>
      </c>
      <c r="G86" s="1" t="s">
        <v>241</v>
      </c>
      <c r="I86" s="500" t="s">
        <v>259</v>
      </c>
      <c r="J86" s="500"/>
      <c r="K86" s="500"/>
      <c r="L86" s="500"/>
      <c r="M86" s="500"/>
      <c r="N86" s="500"/>
      <c r="O86" s="1"/>
      <c r="P86" s="1"/>
      <c r="Q86" s="4"/>
      <c r="R86" s="4"/>
      <c r="S86" s="1"/>
    </row>
    <row r="87" spans="2:19" ht="12.75" customHeight="1">
      <c r="B87" s="5"/>
      <c r="C87" s="23" t="s">
        <v>38</v>
      </c>
      <c r="D87" s="2"/>
      <c r="F87" s="414">
        <v>958546907</v>
      </c>
      <c r="G87" s="1" t="s">
        <v>241</v>
      </c>
      <c r="I87" s="500"/>
      <c r="J87" s="500"/>
      <c r="K87" s="500"/>
      <c r="L87" s="500"/>
      <c r="M87" s="500"/>
      <c r="N87" s="500"/>
      <c r="O87" s="1"/>
      <c r="P87" s="1"/>
      <c r="Q87" s="4"/>
      <c r="R87" s="4"/>
      <c r="S87" s="1"/>
    </row>
    <row r="88" spans="2:19" ht="12.75" customHeight="1">
      <c r="B88" s="5"/>
      <c r="C88" s="23"/>
      <c r="D88" s="2"/>
      <c r="F88" s="94">
        <f>SUM(F86:F87)</f>
        <v>1807629336</v>
      </c>
      <c r="G88" s="3"/>
      <c r="H88" s="1"/>
      <c r="I88" s="500"/>
      <c r="J88" s="500"/>
      <c r="K88" s="500"/>
      <c r="L88" s="500"/>
      <c r="M88" s="500"/>
      <c r="N88" s="500"/>
      <c r="O88" s="1"/>
      <c r="P88" s="1"/>
      <c r="Q88" s="4"/>
      <c r="R88" s="4"/>
      <c r="S88" s="1"/>
    </row>
    <row r="89" spans="2:19">
      <c r="B89" s="1"/>
      <c r="C89" s="23" t="str">
        <f>+S125</f>
        <v>Transmission Plant @ Beginning of Period (P.206, ln 58)</v>
      </c>
      <c r="D89" s="61"/>
      <c r="E89" s="104"/>
      <c r="F89" s="412">
        <f>+F88/2</f>
        <v>903814668</v>
      </c>
      <c r="G89" s="85"/>
      <c r="I89" s="500"/>
      <c r="J89" s="500"/>
      <c r="K89" s="500"/>
      <c r="L89" s="500"/>
      <c r="M89" s="500"/>
      <c r="N89" s="500"/>
      <c r="O89" s="1"/>
      <c r="P89" s="1"/>
      <c r="Q89" s="4"/>
      <c r="R89" s="4"/>
      <c r="S89" s="1"/>
    </row>
    <row r="90" spans="2:19">
      <c r="B90" s="1"/>
      <c r="C90" s="11" t="str">
        <f>S128</f>
        <v>Annual Depreciation Expense  (TCOS, ln 86)</v>
      </c>
      <c r="D90" s="61"/>
      <c r="E90" s="19"/>
      <c r="F90" s="412">
        <f>R128</f>
        <v>25359685</v>
      </c>
      <c r="G90" s="85"/>
      <c r="I90" s="500"/>
      <c r="J90" s="500"/>
      <c r="K90" s="500"/>
      <c r="L90" s="500"/>
      <c r="M90" s="500"/>
      <c r="N90" s="500"/>
      <c r="O90" s="1"/>
      <c r="P90" s="1"/>
      <c r="Q90" s="4"/>
      <c r="R90" s="4"/>
      <c r="S90" s="1"/>
    </row>
    <row r="91" spans="2:19">
      <c r="B91" s="1"/>
      <c r="C91" s="23" t="s">
        <v>39</v>
      </c>
      <c r="D91" s="2"/>
      <c r="E91" s="1"/>
      <c r="F91" s="411">
        <f>F90/F89</f>
        <v>2.8058501259021391E-2</v>
      </c>
      <c r="G91" s="100"/>
      <c r="H91" s="1"/>
      <c r="I91" s="500"/>
      <c r="J91" s="500"/>
      <c r="K91" s="500"/>
      <c r="L91" s="500"/>
      <c r="M91" s="500"/>
      <c r="N91" s="500"/>
      <c r="O91" s="1"/>
      <c r="P91" s="1"/>
      <c r="Q91" s="4"/>
      <c r="R91" s="4"/>
      <c r="S91" s="1"/>
    </row>
    <row r="92" spans="2:19">
      <c r="B92" s="1"/>
      <c r="C92" s="23" t="s">
        <v>40</v>
      </c>
      <c r="D92" s="2"/>
      <c r="E92" s="1"/>
      <c r="F92" s="107">
        <f>IF(F91=0,0,1/F91)</f>
        <v>35.639822340064555</v>
      </c>
      <c r="G92" s="107"/>
      <c r="H92" s="1"/>
      <c r="I92" s="3"/>
      <c r="J92" s="1"/>
      <c r="K92" s="4"/>
      <c r="L92" s="1"/>
      <c r="M92" s="1"/>
      <c r="N92" s="1"/>
      <c r="O92" s="1"/>
      <c r="P92" s="1"/>
      <c r="Q92" s="4"/>
      <c r="R92" s="4"/>
      <c r="S92" s="1"/>
    </row>
    <row r="93" spans="2:19">
      <c r="B93" s="1"/>
      <c r="C93" s="23" t="s">
        <v>41</v>
      </c>
      <c r="D93" s="2"/>
      <c r="E93" s="1"/>
      <c r="F93" s="108">
        <f>ROUND(F92,0)</f>
        <v>36</v>
      </c>
      <c r="G93" s="108"/>
      <c r="H93" s="1"/>
      <c r="I93" s="3"/>
      <c r="J93" s="1"/>
      <c r="K93" s="4"/>
      <c r="L93" s="1"/>
      <c r="M93" s="1"/>
      <c r="N93" s="1"/>
      <c r="O93" s="1"/>
      <c r="P93" s="1"/>
      <c r="Q93" s="4"/>
      <c r="R93" s="4"/>
      <c r="S93" s="1"/>
    </row>
    <row r="94" spans="2:19">
      <c r="B94" s="1"/>
      <c r="C94" s="23"/>
      <c r="D94" s="2"/>
      <c r="E94" s="1"/>
      <c r="F94" s="108"/>
      <c r="G94" s="108"/>
      <c r="H94" s="1"/>
      <c r="I94" s="3"/>
      <c r="J94" s="1"/>
      <c r="K94" s="4"/>
      <c r="L94" s="1"/>
      <c r="M94" s="1"/>
      <c r="N94" s="1"/>
      <c r="O94" s="1"/>
      <c r="P94" s="1"/>
      <c r="Q94" s="4"/>
      <c r="R94" s="4"/>
      <c r="S94" s="1"/>
    </row>
    <row r="95" spans="2:19">
      <c r="B95" s="1"/>
      <c r="C95" s="23"/>
      <c r="D95" s="2"/>
      <c r="E95" s="1"/>
      <c r="F95" s="108"/>
      <c r="G95" s="108"/>
      <c r="H95" s="1"/>
      <c r="I95" s="3"/>
      <c r="J95" s="1"/>
      <c r="K95" s="4"/>
      <c r="L95" s="1"/>
      <c r="M95" s="1"/>
      <c r="N95" s="1"/>
      <c r="O95" s="1"/>
      <c r="P95" s="1"/>
      <c r="Q95" s="4"/>
      <c r="R95" s="4"/>
      <c r="S95" s="1"/>
    </row>
    <row r="96" spans="2:19">
      <c r="B96" s="1"/>
      <c r="C96" s="23"/>
      <c r="D96" s="2"/>
      <c r="E96" s="1"/>
      <c r="F96" s="108"/>
      <c r="G96" s="108"/>
      <c r="H96" s="1"/>
      <c r="I96" s="3"/>
      <c r="J96" s="1"/>
      <c r="K96" s="4"/>
      <c r="L96" s="1"/>
      <c r="M96" s="1"/>
      <c r="N96" s="1"/>
      <c r="O96" s="1"/>
      <c r="P96" s="1"/>
      <c r="Q96" s="4"/>
      <c r="R96" s="4"/>
      <c r="S96" s="1"/>
    </row>
    <row r="97" spans="3:19">
      <c r="C97" s="1"/>
      <c r="D97" s="2"/>
      <c r="E97" s="1"/>
      <c r="F97" s="1"/>
      <c r="G97" s="1"/>
      <c r="H97" s="1"/>
      <c r="I97" s="3"/>
      <c r="J97" s="1"/>
      <c r="K97" s="4"/>
      <c r="L97" s="1"/>
      <c r="M97" s="1"/>
      <c r="N97" s="1"/>
      <c r="O97" s="1"/>
      <c r="P97" s="1"/>
      <c r="Q97" s="4"/>
      <c r="R97" s="227" t="s">
        <v>111</v>
      </c>
      <c r="S97" s="226" t="s">
        <v>117</v>
      </c>
    </row>
    <row r="98" spans="3:19">
      <c r="C98" s="1"/>
      <c r="D98" s="2"/>
      <c r="E98" s="1"/>
      <c r="F98" s="1"/>
      <c r="G98" s="1"/>
      <c r="H98" s="1"/>
      <c r="I98" s="3"/>
      <c r="J98" s="1"/>
      <c r="K98" s="4"/>
      <c r="L98" s="1"/>
      <c r="M98" s="1"/>
      <c r="N98" s="1"/>
      <c r="O98" s="1"/>
      <c r="P98" s="1"/>
      <c r="Q98" s="4"/>
    </row>
    <row r="99" spans="3:19">
      <c r="C99" s="233" t="s">
        <v>108</v>
      </c>
      <c r="J99" s="7"/>
      <c r="L99" s="233" t="s">
        <v>107</v>
      </c>
      <c r="N99" s="1"/>
      <c r="O99" s="1"/>
      <c r="P99" s="1"/>
      <c r="Q99" s="4"/>
    </row>
    <row r="100" spans="3:19">
      <c r="C100" s="1"/>
      <c r="D100" s="2"/>
      <c r="E100" s="1"/>
      <c r="F100" s="1"/>
      <c r="G100" s="1"/>
      <c r="H100" s="1"/>
      <c r="I100" s="3"/>
      <c r="J100" s="1"/>
      <c r="K100" s="4"/>
      <c r="L100" s="1"/>
      <c r="M100" s="1"/>
      <c r="N100" s="1"/>
      <c r="O100" s="1"/>
      <c r="P100" s="1"/>
      <c r="Q100" s="4"/>
      <c r="S100" s="226" t="s">
        <v>105</v>
      </c>
    </row>
    <row r="101" spans="3:19">
      <c r="C101" s="1"/>
      <c r="D101" s="2"/>
      <c r="E101" s="1"/>
      <c r="F101" s="1"/>
      <c r="G101" s="1"/>
      <c r="H101" s="1"/>
      <c r="I101" s="3"/>
      <c r="J101" s="1"/>
      <c r="K101" s="4"/>
      <c r="L101" s="1"/>
      <c r="M101" s="1"/>
      <c r="N101" s="1"/>
      <c r="O101" s="1"/>
      <c r="P101" s="1"/>
      <c r="Q101" s="4"/>
      <c r="R101" s="227" t="s">
        <v>102</v>
      </c>
      <c r="S101" s="230" t="s">
        <v>119</v>
      </c>
    </row>
    <row r="102" spans="3:19" ht="13.5" thickBot="1">
      <c r="C102" s="1"/>
      <c r="D102" s="2"/>
      <c r="E102" s="1"/>
      <c r="F102" s="1"/>
      <c r="G102" s="1"/>
      <c r="H102" s="1"/>
      <c r="I102" s="3"/>
      <c r="J102" s="1"/>
      <c r="K102" s="4"/>
      <c r="L102" s="1"/>
      <c r="M102" s="1"/>
      <c r="N102" s="1"/>
      <c r="O102" s="1"/>
      <c r="Q102" s="4"/>
      <c r="R102" s="229" t="s">
        <v>186</v>
      </c>
    </row>
    <row r="103" spans="3:19">
      <c r="C103" s="1"/>
      <c r="D103" s="2"/>
      <c r="E103" s="1"/>
      <c r="F103" s="1"/>
      <c r="G103" s="1"/>
      <c r="H103" s="1"/>
      <c r="I103" s="3"/>
      <c r="J103" s="1"/>
      <c r="K103" s="4"/>
      <c r="L103" s="1"/>
      <c r="M103" s="1"/>
      <c r="N103" s="1"/>
      <c r="O103" s="1"/>
      <c r="Q103" s="4"/>
      <c r="R103" s="347" t="s">
        <v>178</v>
      </c>
      <c r="S103" s="470" t="s">
        <v>127</v>
      </c>
    </row>
    <row r="104" spans="3:19">
      <c r="C104" s="1"/>
      <c r="D104" s="2"/>
      <c r="E104" s="1"/>
      <c r="F104" s="1"/>
      <c r="G104" s="1"/>
      <c r="H104" s="1"/>
      <c r="I104" s="3"/>
      <c r="J104" s="1"/>
      <c r="K104" s="4"/>
      <c r="L104" s="1"/>
      <c r="M104" s="1"/>
      <c r="N104" s="1"/>
      <c r="O104" s="1"/>
      <c r="Q104" s="4"/>
      <c r="R104" s="348">
        <v>2018</v>
      </c>
      <c r="S104" s="471" t="s">
        <v>84</v>
      </c>
    </row>
    <row r="105" spans="3:19">
      <c r="C105" s="1"/>
      <c r="D105" s="2"/>
      <c r="E105" s="1"/>
      <c r="F105" s="1"/>
      <c r="G105" s="1"/>
      <c r="H105" s="1"/>
      <c r="I105" s="3"/>
      <c r="J105" s="1"/>
      <c r="K105" s="4"/>
      <c r="L105" s="1"/>
      <c r="M105" s="1"/>
      <c r="N105" s="1"/>
      <c r="O105" s="1"/>
      <c r="Q105" s="4"/>
      <c r="R105" s="472">
        <v>0.105</v>
      </c>
      <c r="S105" s="471" t="s">
        <v>271</v>
      </c>
    </row>
    <row r="106" spans="3:19">
      <c r="C106" s="1"/>
      <c r="D106" s="2"/>
      <c r="E106" s="1"/>
      <c r="F106" s="1"/>
      <c r="G106" s="1"/>
      <c r="H106" s="1"/>
      <c r="I106" s="3"/>
      <c r="J106" s="1"/>
      <c r="K106" s="4"/>
      <c r="L106" s="1"/>
      <c r="M106" s="1"/>
      <c r="N106" s="1"/>
      <c r="O106" s="1"/>
      <c r="Q106" s="4"/>
      <c r="R106" s="473">
        <v>0</v>
      </c>
      <c r="S106" s="471" t="s">
        <v>1</v>
      </c>
    </row>
    <row r="107" spans="3:19">
      <c r="C107" s="1"/>
      <c r="D107" s="2"/>
      <c r="E107" s="1"/>
      <c r="F107" s="1"/>
      <c r="G107" s="1"/>
      <c r="H107" s="1"/>
      <c r="I107" s="3"/>
      <c r="J107" s="1"/>
      <c r="K107" s="4"/>
      <c r="L107" s="1"/>
      <c r="M107" s="1"/>
      <c r="N107" s="1"/>
      <c r="O107" s="1"/>
      <c r="Q107" s="4"/>
      <c r="R107" s="472">
        <v>0.47147366920001632</v>
      </c>
      <c r="S107" s="474" t="s">
        <v>97</v>
      </c>
    </row>
    <row r="108" spans="3:19">
      <c r="C108" s="1"/>
      <c r="D108" s="2"/>
      <c r="E108" s="1"/>
      <c r="F108" s="1"/>
      <c r="G108" s="1"/>
      <c r="H108" s="1"/>
      <c r="I108" s="3"/>
      <c r="J108" s="1"/>
      <c r="K108" s="4"/>
      <c r="L108" s="1"/>
      <c r="M108" s="1"/>
      <c r="N108" s="1"/>
      <c r="O108" s="1"/>
      <c r="Q108" s="4"/>
      <c r="R108" s="475">
        <v>4.0383780852361266E-2</v>
      </c>
      <c r="S108" s="474" t="s">
        <v>98</v>
      </c>
    </row>
    <row r="109" spans="3:19">
      <c r="C109" s="1"/>
      <c r="D109" s="2"/>
      <c r="E109" s="1"/>
      <c r="F109" s="1"/>
      <c r="G109" s="1"/>
      <c r="H109" s="1"/>
      <c r="I109" s="3"/>
      <c r="J109" s="1"/>
      <c r="K109" s="4"/>
      <c r="L109" s="1"/>
      <c r="M109" s="1"/>
      <c r="N109" s="1"/>
      <c r="O109" s="1"/>
      <c r="Q109" s="4"/>
      <c r="R109" s="472">
        <v>0</v>
      </c>
      <c r="S109" s="474" t="s">
        <v>99</v>
      </c>
    </row>
    <row r="110" spans="3:19">
      <c r="C110" s="1"/>
      <c r="D110" s="2"/>
      <c r="E110" s="1"/>
      <c r="F110" s="1"/>
      <c r="G110" s="1"/>
      <c r="H110" s="1"/>
      <c r="I110" s="3"/>
      <c r="J110" s="1"/>
      <c r="K110" s="4"/>
      <c r="L110" s="1"/>
      <c r="M110" s="1"/>
      <c r="N110" s="1"/>
      <c r="O110" s="1"/>
      <c r="Q110" s="4"/>
      <c r="R110" s="475">
        <v>0</v>
      </c>
      <c r="S110" s="474" t="s">
        <v>100</v>
      </c>
    </row>
    <row r="111" spans="3:19">
      <c r="C111" s="1"/>
      <c r="D111" s="2"/>
      <c r="E111" s="1"/>
      <c r="F111" s="1"/>
      <c r="G111" s="1"/>
      <c r="H111" s="1"/>
      <c r="I111" s="3"/>
      <c r="J111" s="1"/>
      <c r="K111" s="4"/>
      <c r="L111" s="1"/>
      <c r="M111" s="1"/>
      <c r="N111" s="1"/>
      <c r="O111" s="1"/>
      <c r="Q111" s="4"/>
      <c r="R111" s="472">
        <v>0.52852633079998368</v>
      </c>
      <c r="S111" s="476" t="s">
        <v>101</v>
      </c>
    </row>
    <row r="112" spans="3:19">
      <c r="C112" s="1"/>
      <c r="D112" s="2"/>
      <c r="E112" s="1"/>
      <c r="F112" s="1"/>
      <c r="G112" s="1"/>
      <c r="H112" s="1"/>
      <c r="I112" s="3"/>
      <c r="J112" s="1"/>
      <c r="K112" s="4"/>
      <c r="L112" s="1"/>
      <c r="M112" s="1"/>
      <c r="N112" s="1"/>
      <c r="O112" s="1"/>
      <c r="Q112" s="4"/>
      <c r="R112" s="477">
        <v>639922411.07623744</v>
      </c>
      <c r="S112" s="478" t="s">
        <v>272</v>
      </c>
    </row>
    <row r="113" spans="3:19">
      <c r="C113" s="1"/>
      <c r="D113" s="2"/>
      <c r="E113" s="1"/>
      <c r="F113" s="1"/>
      <c r="G113" s="1"/>
      <c r="H113" s="1"/>
      <c r="I113" s="3"/>
      <c r="J113" s="1"/>
      <c r="K113" s="4"/>
      <c r="L113" s="1"/>
      <c r="M113" s="1"/>
      <c r="N113" s="1"/>
      <c r="O113" s="1"/>
      <c r="Q113" s="4"/>
      <c r="R113" s="479">
        <v>0.254714</v>
      </c>
      <c r="S113" s="471" t="s">
        <v>273</v>
      </c>
    </row>
    <row r="114" spans="3:19">
      <c r="C114" s="1"/>
      <c r="D114" s="2"/>
      <c r="E114" s="1"/>
      <c r="F114" s="1"/>
      <c r="G114" s="1"/>
      <c r="H114" s="1"/>
      <c r="I114" s="3"/>
      <c r="J114" s="1"/>
      <c r="K114" s="4"/>
      <c r="L114" s="1"/>
      <c r="M114" s="1"/>
      <c r="N114" s="1"/>
      <c r="O114" s="1"/>
      <c r="Q114" s="4"/>
      <c r="R114" s="477">
        <v>0</v>
      </c>
      <c r="S114" s="471" t="s">
        <v>274</v>
      </c>
    </row>
    <row r="115" spans="3:19">
      <c r="C115" s="1"/>
      <c r="D115" s="2"/>
      <c r="E115" s="1"/>
      <c r="F115" s="1"/>
      <c r="G115" s="1"/>
      <c r="H115" s="1"/>
      <c r="I115" s="3"/>
      <c r="J115" s="1"/>
      <c r="K115" s="4"/>
      <c r="L115" s="1"/>
      <c r="M115" s="1"/>
      <c r="N115" s="1"/>
      <c r="O115" s="1"/>
      <c r="Q115" s="4"/>
      <c r="R115" s="477">
        <v>871276.53008375282</v>
      </c>
      <c r="S115" s="471" t="s">
        <v>275</v>
      </c>
    </row>
    <row r="116" spans="3:19">
      <c r="C116" s="1"/>
      <c r="D116" s="2"/>
      <c r="E116" s="1"/>
      <c r="F116" s="1"/>
      <c r="G116" s="1"/>
      <c r="H116" s="1"/>
      <c r="I116" s="3"/>
      <c r="J116" s="1"/>
      <c r="K116" s="4"/>
      <c r="L116" s="1"/>
      <c r="M116" s="1"/>
      <c r="N116" s="1"/>
      <c r="O116" s="1"/>
      <c r="Q116" s="4"/>
      <c r="R116" s="477">
        <v>237532.97391873723</v>
      </c>
      <c r="S116" s="471" t="s">
        <v>276</v>
      </c>
    </row>
    <row r="117" spans="3:19">
      <c r="C117" s="1"/>
      <c r="D117" s="2"/>
      <c r="E117" s="1"/>
      <c r="F117" s="1"/>
      <c r="G117" s="1"/>
      <c r="H117" s="1"/>
      <c r="I117" s="3"/>
      <c r="J117" s="1"/>
      <c r="K117" s="4"/>
      <c r="L117" s="1"/>
      <c r="M117" s="1"/>
      <c r="N117" s="1"/>
      <c r="O117" s="1"/>
      <c r="Q117" s="4"/>
      <c r="R117" s="477">
        <v>106331210.17096005</v>
      </c>
      <c r="S117" s="471" t="s">
        <v>277</v>
      </c>
    </row>
    <row r="118" spans="3:19">
      <c r="C118" s="1"/>
      <c r="D118" s="2"/>
      <c r="E118" s="1"/>
      <c r="F118" s="1"/>
      <c r="G118" s="1"/>
      <c r="H118" s="1"/>
      <c r="I118" s="3"/>
      <c r="J118" s="1"/>
      <c r="K118" s="4"/>
      <c r="L118" s="1"/>
      <c r="M118" s="1"/>
      <c r="N118" s="1"/>
      <c r="O118" s="1"/>
      <c r="Q118" s="4"/>
      <c r="R118" s="477">
        <v>47696715.501536801</v>
      </c>
      <c r="S118" s="471" t="s">
        <v>278</v>
      </c>
    </row>
    <row r="119" spans="3:19">
      <c r="C119" s="1"/>
      <c r="D119" s="2"/>
      <c r="E119" s="1"/>
      <c r="F119" s="1"/>
      <c r="G119" s="1"/>
      <c r="H119" s="1"/>
      <c r="I119" s="3"/>
      <c r="J119" s="1"/>
      <c r="K119" s="4"/>
      <c r="L119" s="1"/>
      <c r="M119" s="1"/>
      <c r="N119" s="1"/>
      <c r="O119" s="1"/>
      <c r="Q119" s="4"/>
      <c r="R119" s="477">
        <v>13245858.367445569</v>
      </c>
      <c r="S119" s="471" t="s">
        <v>279</v>
      </c>
    </row>
    <row r="120" spans="3:19">
      <c r="C120" s="1"/>
      <c r="D120" s="2"/>
      <c r="E120" s="1"/>
      <c r="F120" s="1"/>
      <c r="G120" s="1"/>
      <c r="H120" s="1"/>
      <c r="I120" s="3"/>
      <c r="J120" s="1"/>
      <c r="K120" s="4"/>
      <c r="L120" s="1"/>
      <c r="M120" s="1"/>
      <c r="N120" s="1"/>
      <c r="O120" s="1"/>
      <c r="Q120" s="4"/>
      <c r="R120" s="477">
        <v>0</v>
      </c>
      <c r="S120" s="471" t="s">
        <v>280</v>
      </c>
    </row>
    <row r="121" spans="3:19">
      <c r="C121" s="1"/>
      <c r="D121" s="2"/>
      <c r="E121" s="1"/>
      <c r="F121" s="1"/>
      <c r="G121" s="1"/>
      <c r="H121" s="1"/>
      <c r="I121" s="3"/>
      <c r="J121" s="1"/>
      <c r="K121" s="4"/>
      <c r="L121" s="1"/>
      <c r="M121" s="1"/>
      <c r="N121" s="1"/>
      <c r="O121" s="1"/>
      <c r="Q121" s="4"/>
      <c r="R121" s="477">
        <v>23558454.32178659</v>
      </c>
      <c r="S121" s="471" t="s">
        <v>281</v>
      </c>
    </row>
    <row r="122" spans="3:19">
      <c r="C122" s="1"/>
      <c r="D122" s="2"/>
      <c r="E122" s="1"/>
      <c r="F122" s="1"/>
      <c r="G122" s="1"/>
      <c r="H122" s="1"/>
      <c r="I122" s="3"/>
      <c r="J122" s="1"/>
      <c r="K122" s="4"/>
      <c r="L122" s="1"/>
      <c r="M122" s="1"/>
      <c r="N122" s="1"/>
      <c r="O122" s="1"/>
      <c r="Q122" s="4"/>
      <c r="R122" s="479">
        <v>0</v>
      </c>
      <c r="S122" s="471" t="s">
        <v>104</v>
      </c>
    </row>
    <row r="123" spans="3:19">
      <c r="C123" s="1"/>
      <c r="D123" s="2"/>
      <c r="E123" s="1"/>
      <c r="F123" s="1"/>
      <c r="G123" s="1"/>
      <c r="H123" s="1"/>
      <c r="I123" s="3"/>
      <c r="J123" s="1"/>
      <c r="K123" s="4"/>
      <c r="L123" s="1"/>
      <c r="M123" s="1"/>
      <c r="N123" s="1"/>
      <c r="O123" s="1"/>
      <c r="Q123" s="4"/>
      <c r="R123" s="477">
        <v>784111741.96500003</v>
      </c>
      <c r="S123" s="471" t="s">
        <v>282</v>
      </c>
    </row>
    <row r="124" spans="3:19">
      <c r="C124" s="1"/>
      <c r="D124" s="2"/>
      <c r="E124" s="1"/>
      <c r="F124" s="1"/>
      <c r="G124" s="1"/>
      <c r="H124" s="1"/>
      <c r="I124" s="3"/>
      <c r="J124" s="1"/>
      <c r="K124" s="4"/>
      <c r="L124" s="1"/>
      <c r="M124" s="1"/>
      <c r="N124" s="1"/>
      <c r="O124" s="1"/>
      <c r="Q124" s="4"/>
      <c r="R124" s="479">
        <v>0.10556244909908279</v>
      </c>
      <c r="S124" s="480" t="s">
        <v>283</v>
      </c>
    </row>
    <row r="125" spans="3:19">
      <c r="C125" s="1"/>
      <c r="D125" s="2"/>
      <c r="E125" s="1"/>
      <c r="F125" s="1"/>
      <c r="G125" s="1"/>
      <c r="H125" s="1"/>
      <c r="I125" s="3"/>
      <c r="J125" s="1"/>
      <c r="K125" s="4"/>
      <c r="L125" s="1"/>
      <c r="M125" s="1"/>
      <c r="N125" s="1"/>
      <c r="O125" s="1"/>
      <c r="Q125" s="4"/>
      <c r="R125" s="481">
        <v>849082429</v>
      </c>
      <c r="S125" s="23" t="s">
        <v>37</v>
      </c>
    </row>
    <row r="126" spans="3:19">
      <c r="C126" s="1"/>
      <c r="D126" s="2"/>
      <c r="E126" s="1"/>
      <c r="F126" s="1"/>
      <c r="G126" s="1"/>
      <c r="H126" s="1"/>
      <c r="I126" s="3"/>
      <c r="J126" s="1"/>
      <c r="K126" s="4"/>
      <c r="L126" s="1"/>
      <c r="M126" s="1"/>
      <c r="N126" s="1"/>
      <c r="O126" s="1"/>
      <c r="Q126" s="4"/>
      <c r="R126" s="481">
        <v>958546907</v>
      </c>
      <c r="S126" s="23" t="s">
        <v>38</v>
      </c>
    </row>
    <row r="127" spans="3:19">
      <c r="C127" s="1"/>
      <c r="D127" s="2"/>
      <c r="E127" s="1"/>
      <c r="F127" s="1"/>
      <c r="G127" s="1"/>
      <c r="H127" s="1"/>
      <c r="I127" s="3"/>
      <c r="J127" s="1"/>
      <c r="K127" s="4"/>
      <c r="L127" s="1"/>
      <c r="M127" s="1"/>
      <c r="N127" s="1"/>
      <c r="O127" s="1"/>
      <c r="Q127" s="4"/>
      <c r="R127" s="481">
        <v>903814668</v>
      </c>
      <c r="S127" s="464" t="s">
        <v>285</v>
      </c>
    </row>
    <row r="128" spans="3:19" ht="13.5" thickBot="1">
      <c r="C128" s="1"/>
      <c r="D128" s="2"/>
      <c r="E128" s="1"/>
      <c r="F128" s="1"/>
      <c r="G128" s="1"/>
      <c r="H128" s="1"/>
      <c r="I128" s="3"/>
      <c r="J128" s="1"/>
      <c r="K128" s="4"/>
      <c r="L128" s="1"/>
      <c r="M128" s="1"/>
      <c r="N128" s="1"/>
      <c r="O128" s="1"/>
      <c r="Q128" s="4"/>
      <c r="R128" s="482">
        <v>25359685</v>
      </c>
      <c r="S128" s="483" t="s">
        <v>284</v>
      </c>
    </row>
    <row r="129" spans="3:19">
      <c r="C129" s="1"/>
      <c r="D129" s="2"/>
      <c r="E129" s="1"/>
      <c r="F129" s="1"/>
      <c r="G129" s="1"/>
      <c r="H129" s="1"/>
      <c r="I129" s="3"/>
      <c r="J129" s="1"/>
      <c r="K129" s="4"/>
      <c r="L129" s="1"/>
      <c r="M129" s="1"/>
      <c r="N129" s="1"/>
      <c r="O129" s="1"/>
      <c r="Q129" s="4"/>
      <c r="R129" s="1"/>
      <c r="S129" s="1"/>
    </row>
    <row r="130" spans="3:19">
      <c r="C130" s="1"/>
      <c r="D130" s="2"/>
      <c r="E130" s="1"/>
      <c r="F130" s="1"/>
      <c r="G130" s="1"/>
      <c r="H130" s="1"/>
      <c r="I130" s="3"/>
      <c r="J130" s="1"/>
      <c r="K130" s="4"/>
      <c r="L130" s="1"/>
      <c r="M130" s="1"/>
      <c r="N130" s="1"/>
      <c r="O130" s="1"/>
      <c r="Q130" s="4"/>
      <c r="R130" s="227" t="s">
        <v>103</v>
      </c>
      <c r="S130" s="1" t="s">
        <v>115</v>
      </c>
    </row>
    <row r="131" spans="3:19" ht="13.5" thickBot="1">
      <c r="C131" s="1"/>
      <c r="D131" s="2"/>
      <c r="E131" s="1"/>
      <c r="F131" s="1"/>
      <c r="G131" s="1"/>
      <c r="H131" s="1"/>
      <c r="I131" s="3"/>
      <c r="J131" s="1"/>
      <c r="K131" s="4"/>
      <c r="L131" s="1"/>
      <c r="M131" s="1"/>
      <c r="N131" s="1"/>
      <c r="O131" s="1"/>
      <c r="Q131" s="4"/>
      <c r="R131" s="229" t="s">
        <v>187</v>
      </c>
      <c r="S131" s="1"/>
    </row>
    <row r="132" spans="3:19">
      <c r="C132" s="1"/>
      <c r="D132" s="2"/>
      <c r="E132" s="1"/>
      <c r="F132" s="1"/>
      <c r="G132" s="1"/>
      <c r="H132" s="1"/>
      <c r="I132" s="3"/>
      <c r="J132" s="1"/>
      <c r="K132" s="4"/>
      <c r="L132" s="1"/>
      <c r="M132" s="1"/>
      <c r="N132" s="1"/>
      <c r="O132" s="1"/>
      <c r="Q132" s="4"/>
      <c r="R132" s="231">
        <f>+N17</f>
        <v>39804485.030792631</v>
      </c>
      <c r="S132" t="s">
        <v>120</v>
      </c>
    </row>
    <row r="133" spans="3:19">
      <c r="C133" s="1"/>
      <c r="D133" s="2"/>
      <c r="E133" s="1"/>
      <c r="F133" s="1"/>
      <c r="G133" s="1"/>
      <c r="H133" s="1"/>
      <c r="I133" s="3"/>
      <c r="J133" s="1"/>
      <c r="K133" s="4"/>
      <c r="L133" s="1"/>
      <c r="M133" s="1"/>
      <c r="N133" s="1"/>
      <c r="O133" s="1"/>
      <c r="Q133" s="4"/>
      <c r="R133" s="232">
        <f>+O17</f>
        <v>39804485.030792631</v>
      </c>
      <c r="S133" t="s">
        <v>121</v>
      </c>
    </row>
    <row r="134" spans="3:19">
      <c r="C134" s="1"/>
      <c r="D134" s="2"/>
      <c r="E134" s="1"/>
      <c r="F134" s="1"/>
      <c r="G134" s="1"/>
      <c r="H134" s="1"/>
      <c r="I134" s="3"/>
      <c r="J134" s="1"/>
      <c r="K134" s="4"/>
      <c r="L134" s="1"/>
      <c r="M134" s="1"/>
      <c r="N134" s="1"/>
      <c r="O134" s="1"/>
      <c r="Q134" s="4"/>
      <c r="R134" s="416">
        <f>+N18</f>
        <v>37381560.572083868</v>
      </c>
      <c r="S134" t="s">
        <v>122</v>
      </c>
    </row>
    <row r="135" spans="3:19" ht="13.5" thickBot="1">
      <c r="C135" s="1"/>
      <c r="D135" s="2"/>
      <c r="E135" s="1"/>
      <c r="F135" s="1"/>
      <c r="G135" s="1"/>
      <c r="H135" s="1"/>
      <c r="I135" s="3"/>
      <c r="J135" s="1"/>
      <c r="K135" s="4"/>
      <c r="L135" s="1"/>
      <c r="M135" s="1"/>
      <c r="N135" s="1"/>
      <c r="O135" s="1"/>
      <c r="Q135" s="4"/>
      <c r="R135" s="417">
        <f>+O18</f>
        <v>37381560.572083868</v>
      </c>
      <c r="S135" t="s">
        <v>123</v>
      </c>
    </row>
    <row r="136" spans="3:19">
      <c r="C136" s="1"/>
      <c r="D136" s="2"/>
      <c r="E136" s="1"/>
      <c r="F136" s="1"/>
      <c r="G136" s="1"/>
      <c r="H136" s="1"/>
      <c r="I136" s="3"/>
      <c r="J136" s="1"/>
      <c r="K136" s="4"/>
      <c r="L136" s="1"/>
      <c r="M136" s="1"/>
      <c r="N136" s="1"/>
      <c r="O136" s="1"/>
      <c r="Q136" s="4"/>
      <c r="R136" s="1"/>
      <c r="S136" s="1"/>
    </row>
    <row r="137" spans="3:19">
      <c r="C137" s="1"/>
      <c r="D137" s="2"/>
      <c r="E137" s="1"/>
      <c r="F137" s="1"/>
      <c r="G137" s="1"/>
      <c r="H137" s="1"/>
      <c r="I137" s="3"/>
      <c r="J137" s="1"/>
      <c r="K137" s="4"/>
      <c r="L137" s="1"/>
      <c r="M137" s="1"/>
      <c r="N137" s="1"/>
      <c r="O137" s="1"/>
      <c r="Q137" s="4"/>
      <c r="R137" s="227" t="s">
        <v>113</v>
      </c>
      <c r="S137" s="226"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U163"/>
  <sheetViews>
    <sheetView view="pageBreakPreview" topLeftCell="A94" zoomScale="90" zoomScaleNormal="100" zoomScaleSheetLayoutView="90" workbookViewId="0">
      <selection activeCell="I107" sqref="I107"/>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14062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1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t="str">
        <f>"For Calendar Year "&amp;V1-1&amp;" and Projected Year "&amp;V1</f>
        <v xml:space="preserve">For Calendar Year -1 and Projected Year </v>
      </c>
      <c r="I3" s="3"/>
      <c r="J3" s="112"/>
      <c r="K3" s="3"/>
      <c r="L3" s="3"/>
      <c r="M3" s="3"/>
      <c r="N3" s="3"/>
      <c r="O3" s="1" t="str">
        <f>RIGHT(N3,3)</f>
        <v/>
      </c>
      <c r="P3" s="236">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91171.767437218194</v>
      </c>
      <c r="P5" s="1"/>
      <c r="R5" s="1"/>
      <c r="S5" s="1"/>
      <c r="T5" s="1"/>
      <c r="U5" s="1"/>
    </row>
    <row r="6" spans="1:21" ht="15.75">
      <c r="C6" s="8"/>
      <c r="D6" s="2"/>
      <c r="E6" s="1"/>
      <c r="F6" s="1"/>
      <c r="G6" s="1"/>
      <c r="H6" s="119"/>
      <c r="I6" s="119"/>
      <c r="J6" s="120"/>
      <c r="K6" s="121" t="s">
        <v>243</v>
      </c>
      <c r="L6" s="122"/>
      <c r="M6" s="4"/>
      <c r="N6" s="123">
        <f>VLOOKUP(I10,C17:I73,6)</f>
        <v>91171.767437218194</v>
      </c>
      <c r="O6" s="1"/>
      <c r="P6" s="1"/>
      <c r="R6" s="1"/>
      <c r="S6" s="1"/>
      <c r="T6" s="1"/>
      <c r="U6" s="1"/>
    </row>
    <row r="7" spans="1:21" ht="13.5" thickBot="1">
      <c r="C7" s="124" t="s">
        <v>46</v>
      </c>
      <c r="D7" s="258" t="s">
        <v>191</v>
      </c>
      <c r="E7" s="92"/>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A9" s="104"/>
      <c r="C9" s="130" t="s">
        <v>48</v>
      </c>
      <c r="D9" s="224" t="s">
        <v>196</v>
      </c>
      <c r="E9" s="131"/>
      <c r="F9" s="131"/>
      <c r="G9" s="131"/>
      <c r="H9" s="131"/>
      <c r="I9" s="132"/>
      <c r="J9" s="133"/>
      <c r="O9" s="134"/>
      <c r="P9" s="4"/>
      <c r="R9" s="1"/>
      <c r="S9" s="1"/>
      <c r="T9" s="1"/>
      <c r="U9" s="1"/>
    </row>
    <row r="10" spans="1:21">
      <c r="C10" s="135" t="s">
        <v>49</v>
      </c>
      <c r="D10" s="136">
        <v>723818</v>
      </c>
      <c r="E10" s="63" t="s">
        <v>50</v>
      </c>
      <c r="F10" s="134"/>
      <c r="G10" s="137"/>
      <c r="H10" s="137"/>
      <c r="I10" s="138">
        <f>+OKT.WS.F.BPU.ATRR.Projected!R100</f>
        <v>2018</v>
      </c>
      <c r="J10" s="133"/>
      <c r="K10" s="112" t="s">
        <v>51</v>
      </c>
      <c r="O10" s="4"/>
      <c r="P10" s="4"/>
      <c r="R10" s="1"/>
      <c r="S10" s="1"/>
      <c r="T10" s="1"/>
      <c r="U10" s="1"/>
    </row>
    <row r="11" spans="1:21">
      <c r="C11" s="139" t="s">
        <v>52</v>
      </c>
      <c r="D11" s="140">
        <v>2010</v>
      </c>
      <c r="E11" s="139" t="s">
        <v>53</v>
      </c>
      <c r="F11" s="137"/>
      <c r="G11" s="7"/>
      <c r="H11" s="7"/>
      <c r="I11" s="141">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12</v>
      </c>
      <c r="E12" s="139" t="s">
        <v>55</v>
      </c>
      <c r="F12" s="137"/>
      <c r="G12" s="7"/>
      <c r="H12" s="7"/>
      <c r="I12" s="143">
        <f>OKT.WS.F.BPU.ATRR.Projected!$F$78</f>
        <v>0.11749102697326873</v>
      </c>
      <c r="J12" s="144"/>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c r="E14" s="4" t="s">
        <v>62</v>
      </c>
      <c r="F14" s="137"/>
      <c r="G14" s="7"/>
      <c r="H14" s="7"/>
      <c r="I14" s="145">
        <f>IF(D10=0,0,D10/D13)</f>
        <v>17751.333847969061</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445" t="s">
        <v>71</v>
      </c>
      <c r="H16" s="151" t="s">
        <v>72</v>
      </c>
      <c r="I16" s="152" t="s">
        <v>93</v>
      </c>
      <c r="J16" s="153" t="s">
        <v>73</v>
      </c>
      <c r="K16" s="154" t="s">
        <v>74</v>
      </c>
      <c r="L16" s="321" t="s">
        <v>74</v>
      </c>
      <c r="M16" s="154" t="s">
        <v>94</v>
      </c>
      <c r="N16" s="322" t="s">
        <v>94</v>
      </c>
      <c r="O16" s="154" t="s">
        <v>94</v>
      </c>
      <c r="P16" s="4"/>
      <c r="R16" s="1"/>
      <c r="S16" s="1"/>
      <c r="T16" s="1"/>
      <c r="U16" s="1"/>
    </row>
    <row r="17" spans="2:21">
      <c r="B17" t="str">
        <f>IF(D17=F16,"","IU")</f>
        <v>IU</v>
      </c>
      <c r="C17" s="155">
        <f>IF(D11= "","-",D11)</f>
        <v>2010</v>
      </c>
      <c r="D17" s="373">
        <v>767749</v>
      </c>
      <c r="E17" s="374">
        <v>0</v>
      </c>
      <c r="F17" s="373">
        <v>767749</v>
      </c>
      <c r="G17" s="375">
        <v>92753.205799400443</v>
      </c>
      <c r="H17" s="376">
        <v>92753.205799400443</v>
      </c>
      <c r="I17" s="158">
        <f t="shared" ref="I17:I49" si="0">H17-G17</f>
        <v>0</v>
      </c>
      <c r="J17" s="158"/>
      <c r="K17" s="318">
        <f t="shared" ref="K17:K22" si="1">G17</f>
        <v>92753.205799400443</v>
      </c>
      <c r="L17" s="340">
        <f t="shared" ref="L17:L49" si="2">IF(K17&lt;&gt;0,+G17-K17,0)</f>
        <v>0</v>
      </c>
      <c r="M17" s="318">
        <f t="shared" ref="M17:M22" si="3">H17</f>
        <v>92753.205799400443</v>
      </c>
      <c r="N17" s="159">
        <f t="shared" ref="N17:N49" si="4">IF(M17&lt;&gt;0,+H17-M17,0)</f>
        <v>0</v>
      </c>
      <c r="O17" s="160">
        <f t="shared" ref="O17:O49" si="5">+N17-L17</f>
        <v>0</v>
      </c>
      <c r="P17" s="4"/>
      <c r="R17" s="1"/>
      <c r="S17" s="1"/>
      <c r="T17" s="1"/>
      <c r="U17" s="1"/>
    </row>
    <row r="18" spans="2:21">
      <c r="B18" t="str">
        <f>IF(D18=F17,"","IU")</f>
        <v/>
      </c>
      <c r="C18" s="155">
        <f>IF(D11="","-",+C17+1)</f>
        <v>2011</v>
      </c>
      <c r="D18" s="377">
        <v>767749</v>
      </c>
      <c r="E18" s="375">
        <v>10981.365584860865</v>
      </c>
      <c r="F18" s="377">
        <v>756767.63441513909</v>
      </c>
      <c r="G18" s="375">
        <v>109365.67160279222</v>
      </c>
      <c r="H18" s="376">
        <v>109365.67160279222</v>
      </c>
      <c r="I18" s="158">
        <f t="shared" si="0"/>
        <v>0</v>
      </c>
      <c r="J18" s="158"/>
      <c r="K18" s="344">
        <f t="shared" si="1"/>
        <v>109365.67160279222</v>
      </c>
      <c r="L18" s="345">
        <f t="shared" si="2"/>
        <v>0</v>
      </c>
      <c r="M18" s="344">
        <f t="shared" si="3"/>
        <v>109365.67160279222</v>
      </c>
      <c r="N18" s="160">
        <f t="shared" si="4"/>
        <v>0</v>
      </c>
      <c r="O18" s="160">
        <f t="shared" si="5"/>
        <v>0</v>
      </c>
      <c r="P18" s="4"/>
      <c r="R18" s="1"/>
      <c r="S18" s="1"/>
      <c r="T18" s="1"/>
      <c r="U18" s="1"/>
    </row>
    <row r="19" spans="2:21">
      <c r="B19" t="str">
        <f t="shared" ref="B19:B73" si="6">IF(D19=F18,"","IU")</f>
        <v/>
      </c>
      <c r="C19" s="155">
        <f>IF(D11="","-",+C18+1)</f>
        <v>2012</v>
      </c>
      <c r="D19" s="377">
        <v>756767.63441513909</v>
      </c>
      <c r="E19" s="375">
        <v>12221.81530625035</v>
      </c>
      <c r="F19" s="377">
        <v>744545.81910888874</v>
      </c>
      <c r="G19" s="375">
        <v>84179.959434377466</v>
      </c>
      <c r="H19" s="376">
        <v>84179.959434377466</v>
      </c>
      <c r="I19" s="158">
        <v>0</v>
      </c>
      <c r="J19" s="158"/>
      <c r="K19" s="344">
        <f t="shared" si="1"/>
        <v>84179.959434377466</v>
      </c>
      <c r="L19" s="160">
        <f t="shared" si="2"/>
        <v>0</v>
      </c>
      <c r="M19" s="344">
        <f t="shared" si="3"/>
        <v>84179.959434377466</v>
      </c>
      <c r="N19" s="160">
        <f t="shared" si="4"/>
        <v>0</v>
      </c>
      <c r="O19" s="160">
        <f t="shared" si="5"/>
        <v>0</v>
      </c>
      <c r="P19" s="4"/>
      <c r="R19" s="1"/>
      <c r="S19" s="1"/>
      <c r="T19" s="1"/>
      <c r="U19" s="1"/>
    </row>
    <row r="20" spans="2:21">
      <c r="B20" t="str">
        <f t="shared" si="6"/>
        <v>IU</v>
      </c>
      <c r="C20" s="155">
        <f>IF(D11="","-",+C19+1)</f>
        <v>2013</v>
      </c>
      <c r="D20" s="377">
        <v>700614.81910888874</v>
      </c>
      <c r="E20" s="375">
        <v>12521.479662412485</v>
      </c>
      <c r="F20" s="377">
        <v>688093.33944647631</v>
      </c>
      <c r="G20" s="375">
        <v>87689.629791132116</v>
      </c>
      <c r="H20" s="376">
        <v>87689.629791132116</v>
      </c>
      <c r="I20" s="158">
        <v>0</v>
      </c>
      <c r="J20" s="158"/>
      <c r="K20" s="344">
        <f t="shared" si="1"/>
        <v>87689.629791132116</v>
      </c>
      <c r="L20" s="160">
        <f t="shared" ref="L20:L25" si="7">IF(K20&lt;&gt;0,+G20-K20,0)</f>
        <v>0</v>
      </c>
      <c r="M20" s="344">
        <f t="shared" si="3"/>
        <v>87689.629791132116</v>
      </c>
      <c r="N20" s="160">
        <f>IF(M20&lt;&gt;0,+H20-M20,0)</f>
        <v>0</v>
      </c>
      <c r="O20" s="160">
        <f>+N20-L20</f>
        <v>0</v>
      </c>
      <c r="P20" s="4"/>
      <c r="R20" s="1"/>
      <c r="S20" s="1"/>
      <c r="T20" s="1"/>
      <c r="U20" s="1"/>
    </row>
    <row r="21" spans="2:21">
      <c r="B21" t="str">
        <f t="shared" si="6"/>
        <v/>
      </c>
      <c r="C21" s="155">
        <f>IF(D12="","-",+C20+1)</f>
        <v>2014</v>
      </c>
      <c r="D21" s="377">
        <v>688093.33944647631</v>
      </c>
      <c r="E21" s="375">
        <v>12521.479662412485</v>
      </c>
      <c r="F21" s="377">
        <v>675571.85978406388</v>
      </c>
      <c r="G21" s="375">
        <v>86852.845850246973</v>
      </c>
      <c r="H21" s="376">
        <v>86852.845850246973</v>
      </c>
      <c r="I21" s="158">
        <v>0</v>
      </c>
      <c r="J21" s="158"/>
      <c r="K21" s="344">
        <f t="shared" si="1"/>
        <v>86852.845850246973</v>
      </c>
      <c r="L21" s="160">
        <f t="shared" si="7"/>
        <v>0</v>
      </c>
      <c r="M21" s="344">
        <f t="shared" si="3"/>
        <v>86852.845850246973</v>
      </c>
      <c r="N21" s="160">
        <f>IF(M21&lt;&gt;0,+H21-M21,0)</f>
        <v>0</v>
      </c>
      <c r="O21" s="160">
        <f>+N21-L21</f>
        <v>0</v>
      </c>
      <c r="P21" s="4"/>
      <c r="R21" s="1"/>
      <c r="S21" s="1"/>
      <c r="T21" s="1"/>
      <c r="U21" s="1"/>
    </row>
    <row r="22" spans="2:21">
      <c r="B22" t="str">
        <f t="shared" si="6"/>
        <v/>
      </c>
      <c r="C22" s="155">
        <f>IF(D11="","-",+C21+1)</f>
        <v>2015</v>
      </c>
      <c r="D22" s="377">
        <v>675571.85978406388</v>
      </c>
      <c r="E22" s="375">
        <v>12521.479662412485</v>
      </c>
      <c r="F22" s="377">
        <v>663050.38012165145</v>
      </c>
      <c r="G22" s="375">
        <v>80859.057608604737</v>
      </c>
      <c r="H22" s="376">
        <v>80859.057608604737</v>
      </c>
      <c r="I22" s="158">
        <f t="shared" si="0"/>
        <v>0</v>
      </c>
      <c r="J22" s="158"/>
      <c r="K22" s="344">
        <f t="shared" si="1"/>
        <v>80859.057608604737</v>
      </c>
      <c r="L22" s="160">
        <f t="shared" si="7"/>
        <v>0</v>
      </c>
      <c r="M22" s="344">
        <f t="shared" si="3"/>
        <v>80859.057608604737</v>
      </c>
      <c r="N22" s="160">
        <f>IF(M22&lt;&gt;0,+H22-M22,0)</f>
        <v>0</v>
      </c>
      <c r="O22" s="160">
        <f>+N22-L22</f>
        <v>0</v>
      </c>
      <c r="P22" s="4"/>
      <c r="R22" s="1"/>
      <c r="S22" s="1"/>
      <c r="T22" s="1"/>
      <c r="U22" s="1"/>
    </row>
    <row r="23" spans="2:21">
      <c r="B23" t="str">
        <f t="shared" si="6"/>
        <v/>
      </c>
      <c r="C23" s="155">
        <f>IF(D11="","-",+C22+1)</f>
        <v>2016</v>
      </c>
      <c r="D23" s="377">
        <v>663050.38012165145</v>
      </c>
      <c r="E23" s="375">
        <v>15040.542945521509</v>
      </c>
      <c r="F23" s="377">
        <v>648009.83717612992</v>
      </c>
      <c r="G23" s="375">
        <v>84948.083991581108</v>
      </c>
      <c r="H23" s="376">
        <v>84948.083991581108</v>
      </c>
      <c r="I23" s="158">
        <f t="shared" si="0"/>
        <v>0</v>
      </c>
      <c r="J23" s="158"/>
      <c r="K23" s="344">
        <f>G23</f>
        <v>84948.083991581108</v>
      </c>
      <c r="L23" s="160">
        <f t="shared" si="7"/>
        <v>0</v>
      </c>
      <c r="M23" s="344">
        <f>H23</f>
        <v>84948.083991581108</v>
      </c>
      <c r="N23" s="160">
        <f t="shared" si="4"/>
        <v>0</v>
      </c>
      <c r="O23" s="160">
        <f t="shared" si="5"/>
        <v>0</v>
      </c>
      <c r="P23" s="4"/>
      <c r="R23" s="1"/>
      <c r="S23" s="1"/>
      <c r="T23" s="1"/>
      <c r="U23" s="1"/>
    </row>
    <row r="24" spans="2:21">
      <c r="B24" t="str">
        <f t="shared" si="6"/>
        <v/>
      </c>
      <c r="C24" s="155">
        <f>IF(D11="","-",+C23+1)</f>
        <v>2017</v>
      </c>
      <c r="D24" s="377">
        <v>648009.83717612992</v>
      </c>
      <c r="E24" s="375">
        <v>14231.694883080969</v>
      </c>
      <c r="F24" s="377">
        <v>633778.14229304891</v>
      </c>
      <c r="G24" s="375">
        <v>84691.562397354341</v>
      </c>
      <c r="H24" s="376">
        <v>84691.562397354341</v>
      </c>
      <c r="I24" s="158">
        <f t="shared" si="0"/>
        <v>0</v>
      </c>
      <c r="J24" s="158"/>
      <c r="K24" s="344">
        <f>G24</f>
        <v>84691.562397354341</v>
      </c>
      <c r="L24" s="160">
        <f t="shared" si="7"/>
        <v>0</v>
      </c>
      <c r="M24" s="344">
        <f>H24</f>
        <v>84691.562397354341</v>
      </c>
      <c r="N24" s="160">
        <f>IF(M24&lt;&gt;0,+H24-M24,0)</f>
        <v>0</v>
      </c>
      <c r="O24" s="160">
        <f>+N24-L24</f>
        <v>0</v>
      </c>
      <c r="P24" s="4"/>
      <c r="R24" s="1"/>
      <c r="S24" s="1"/>
      <c r="T24" s="1"/>
      <c r="U24" s="1"/>
    </row>
    <row r="25" spans="2:21">
      <c r="B25" t="str">
        <f t="shared" si="6"/>
        <v/>
      </c>
      <c r="C25" s="155">
        <f>IF(D11="","-",+C24+1)</f>
        <v>2018</v>
      </c>
      <c r="D25" s="377">
        <v>633778.14229304891</v>
      </c>
      <c r="E25" s="375">
        <v>17751.333847969061</v>
      </c>
      <c r="F25" s="377">
        <v>616026.80844507983</v>
      </c>
      <c r="G25" s="375">
        <v>91171.767437218194</v>
      </c>
      <c r="H25" s="376">
        <v>91171.767437218194</v>
      </c>
      <c r="I25" s="158">
        <f t="shared" si="0"/>
        <v>0</v>
      </c>
      <c r="J25" s="158"/>
      <c r="K25" s="344">
        <f>G25</f>
        <v>91171.767437218194</v>
      </c>
      <c r="L25" s="160">
        <f t="shared" si="7"/>
        <v>0</v>
      </c>
      <c r="M25" s="344">
        <f>H25</f>
        <v>91171.767437218194</v>
      </c>
      <c r="N25" s="160">
        <f>IF(M25&lt;&gt;0,+H25-M25,0)</f>
        <v>0</v>
      </c>
      <c r="O25" s="160">
        <f>+N25-L25</f>
        <v>0</v>
      </c>
      <c r="P25" s="4"/>
      <c r="R25" s="1"/>
      <c r="S25" s="1"/>
      <c r="T25" s="1"/>
      <c r="U25" s="1"/>
    </row>
    <row r="26" spans="2:21">
      <c r="B26" t="str">
        <f t="shared" si="6"/>
        <v/>
      </c>
      <c r="C26" s="155">
        <f>IF(D11="","-",+C25+1)</f>
        <v>2019</v>
      </c>
      <c r="D26" s="164">
        <f>IF(F25+SUM(E$17:E25)=D$10,F25,D$10-SUM(E$17:E25))</f>
        <v>616026.80844507983</v>
      </c>
      <c r="E26" s="162">
        <f>IF(+I14&lt;F25,I14,D26)</f>
        <v>17751.333847969061</v>
      </c>
      <c r="F26" s="161">
        <f t="shared" ref="F26:F49" si="8">+D26-E26</f>
        <v>598275.47459711076</v>
      </c>
      <c r="G26" s="163">
        <f t="shared" ref="G26:G73" si="9">(D26+F26)/2*I$12+E26</f>
        <v>89086.144993274967</v>
      </c>
      <c r="H26" s="145">
        <f t="shared" ref="H26:H73" si="10">+(D26+F26)/2*I$13+E26</f>
        <v>89086.144993274967</v>
      </c>
      <c r="I26" s="158">
        <f t="shared" si="0"/>
        <v>0</v>
      </c>
      <c r="J26" s="158"/>
      <c r="K26" s="316"/>
      <c r="L26" s="160">
        <f t="shared" si="2"/>
        <v>0</v>
      </c>
      <c r="M26" s="316"/>
      <c r="N26" s="160">
        <f t="shared" si="4"/>
        <v>0</v>
      </c>
      <c r="O26" s="160">
        <f t="shared" si="5"/>
        <v>0</v>
      </c>
      <c r="P26" s="4"/>
      <c r="R26" s="1"/>
      <c r="S26" s="1"/>
      <c r="T26" s="1"/>
      <c r="U26" s="1"/>
    </row>
    <row r="27" spans="2:21">
      <c r="B27" t="str">
        <f t="shared" si="6"/>
        <v/>
      </c>
      <c r="C27" s="155">
        <f>IF(D11="","-",+C26+1)</f>
        <v>2020</v>
      </c>
      <c r="D27" s="164">
        <f>IF(F26+SUM(E$17:E26)=D$10,F26,D$10-SUM(E$17:E26))</f>
        <v>598275.47459711076</v>
      </c>
      <c r="E27" s="162">
        <f>IF(+I14&lt;F26,I14,D27)</f>
        <v>17751.333847969061</v>
      </c>
      <c r="F27" s="161">
        <f t="shared" si="8"/>
        <v>580524.14074914169</v>
      </c>
      <c r="G27" s="163">
        <f t="shared" si="9"/>
        <v>87000.522549331727</v>
      </c>
      <c r="H27" s="145">
        <f t="shared" si="10"/>
        <v>87000.522549331727</v>
      </c>
      <c r="I27" s="158">
        <f t="shared" si="0"/>
        <v>0</v>
      </c>
      <c r="J27" s="158"/>
      <c r="K27" s="316"/>
      <c r="L27" s="160">
        <f t="shared" si="2"/>
        <v>0</v>
      </c>
      <c r="M27" s="316"/>
      <c r="N27" s="160">
        <f t="shared" si="4"/>
        <v>0</v>
      </c>
      <c r="O27" s="160">
        <f t="shared" si="5"/>
        <v>0</v>
      </c>
      <c r="P27" s="4"/>
      <c r="R27" s="1"/>
      <c r="S27" s="1"/>
      <c r="T27" s="1"/>
      <c r="U27" s="1"/>
    </row>
    <row r="28" spans="2:21">
      <c r="B28" t="str">
        <f t="shared" si="6"/>
        <v/>
      </c>
      <c r="C28" s="155">
        <f>IF(D11="","-",+C27+1)</f>
        <v>2021</v>
      </c>
      <c r="D28" s="164">
        <f>IF(F27+SUM(E$17:E27)=D$10,F27,D$10-SUM(E$17:E27))</f>
        <v>580524.14074914169</v>
      </c>
      <c r="E28" s="162">
        <f>IF(+I14&lt;F27,I14,D28)</f>
        <v>17751.333847969061</v>
      </c>
      <c r="F28" s="161">
        <f t="shared" si="8"/>
        <v>562772.80690117262</v>
      </c>
      <c r="G28" s="163">
        <f t="shared" si="9"/>
        <v>84914.9001053885</v>
      </c>
      <c r="H28" s="145">
        <f t="shared" si="10"/>
        <v>84914.9001053885</v>
      </c>
      <c r="I28" s="158">
        <f t="shared" si="0"/>
        <v>0</v>
      </c>
      <c r="J28" s="158"/>
      <c r="K28" s="316"/>
      <c r="L28" s="160">
        <f t="shared" si="2"/>
        <v>0</v>
      </c>
      <c r="M28" s="316"/>
      <c r="N28" s="160">
        <f t="shared" si="4"/>
        <v>0</v>
      </c>
      <c r="O28" s="160">
        <f t="shared" si="5"/>
        <v>0</v>
      </c>
      <c r="P28" s="4"/>
      <c r="R28" s="1"/>
      <c r="S28" s="1"/>
      <c r="T28" s="1"/>
      <c r="U28" s="1"/>
    </row>
    <row r="29" spans="2:21">
      <c r="B29" t="str">
        <f t="shared" si="6"/>
        <v/>
      </c>
      <c r="C29" s="155">
        <f>IF(D11="","-",+C28+1)</f>
        <v>2022</v>
      </c>
      <c r="D29" s="164">
        <f>IF(F28+SUM(E$17:E28)=D$10,F28,D$10-SUM(E$17:E28))</f>
        <v>562772.80690117262</v>
      </c>
      <c r="E29" s="162">
        <f>IF(+I14&lt;F28,I14,D29)</f>
        <v>17751.333847969061</v>
      </c>
      <c r="F29" s="161">
        <f t="shared" si="8"/>
        <v>545021.47305320355</v>
      </c>
      <c r="G29" s="163">
        <f t="shared" si="9"/>
        <v>82829.277661445274</v>
      </c>
      <c r="H29" s="145">
        <f t="shared" si="10"/>
        <v>82829.277661445274</v>
      </c>
      <c r="I29" s="158">
        <f t="shared" si="0"/>
        <v>0</v>
      </c>
      <c r="J29" s="158"/>
      <c r="K29" s="316"/>
      <c r="L29" s="160">
        <f t="shared" si="2"/>
        <v>0</v>
      </c>
      <c r="M29" s="316"/>
      <c r="N29" s="160">
        <f t="shared" si="4"/>
        <v>0</v>
      </c>
      <c r="O29" s="160">
        <f t="shared" si="5"/>
        <v>0</v>
      </c>
      <c r="P29" s="4"/>
      <c r="R29" s="1"/>
      <c r="S29" s="1"/>
      <c r="T29" s="1"/>
      <c r="U29" s="1"/>
    </row>
    <row r="30" spans="2:21">
      <c r="B30" t="str">
        <f t="shared" si="6"/>
        <v/>
      </c>
      <c r="C30" s="155">
        <f>IF(D11="","-",+C29+1)</f>
        <v>2023</v>
      </c>
      <c r="D30" s="164">
        <f>IF(F29+SUM(E$17:E29)=D$10,F29,D$10-SUM(E$17:E29))</f>
        <v>545021.47305320355</v>
      </c>
      <c r="E30" s="162">
        <f>IF(+I14&lt;F29,I14,D30)</f>
        <v>17751.333847969061</v>
      </c>
      <c r="F30" s="161">
        <f t="shared" si="8"/>
        <v>527270.13920523447</v>
      </c>
      <c r="G30" s="163">
        <f t="shared" si="9"/>
        <v>80743.655217502033</v>
      </c>
      <c r="H30" s="145">
        <f t="shared" si="10"/>
        <v>80743.655217502033</v>
      </c>
      <c r="I30" s="158">
        <f t="shared" si="0"/>
        <v>0</v>
      </c>
      <c r="J30" s="158"/>
      <c r="K30" s="316"/>
      <c r="L30" s="160">
        <f t="shared" si="2"/>
        <v>0</v>
      </c>
      <c r="M30" s="316"/>
      <c r="N30" s="160">
        <f t="shared" si="4"/>
        <v>0</v>
      </c>
      <c r="O30" s="160">
        <f t="shared" si="5"/>
        <v>0</v>
      </c>
      <c r="P30" s="4"/>
      <c r="R30" s="1"/>
      <c r="S30" s="1"/>
      <c r="T30" s="1"/>
      <c r="U30" s="1"/>
    </row>
    <row r="31" spans="2:21">
      <c r="B31" t="str">
        <f t="shared" si="6"/>
        <v/>
      </c>
      <c r="C31" s="155">
        <f>IF(D11="","-",+C30+1)</f>
        <v>2024</v>
      </c>
      <c r="D31" s="164">
        <f>IF(F30+SUM(E$17:E30)=D$10,F30,D$10-SUM(E$17:E30))</f>
        <v>527270.13920523447</v>
      </c>
      <c r="E31" s="162">
        <f>IF(+I14&lt;F30,I14,D31)</f>
        <v>17751.333847969061</v>
      </c>
      <c r="F31" s="161">
        <f t="shared" si="8"/>
        <v>509518.8053572654</v>
      </c>
      <c r="G31" s="163">
        <f t="shared" si="9"/>
        <v>78658.032773558807</v>
      </c>
      <c r="H31" s="145">
        <f t="shared" si="10"/>
        <v>78658.032773558807</v>
      </c>
      <c r="I31" s="158">
        <f t="shared" si="0"/>
        <v>0</v>
      </c>
      <c r="J31" s="158"/>
      <c r="K31" s="316"/>
      <c r="L31" s="160">
        <f t="shared" si="2"/>
        <v>0</v>
      </c>
      <c r="M31" s="316"/>
      <c r="N31" s="160">
        <f t="shared" si="4"/>
        <v>0</v>
      </c>
      <c r="O31" s="160">
        <f t="shared" si="5"/>
        <v>0</v>
      </c>
      <c r="P31" s="4"/>
      <c r="Q31" s="7"/>
      <c r="R31" s="4"/>
      <c r="S31" s="4"/>
      <c r="T31" s="4"/>
      <c r="U31" s="1"/>
    </row>
    <row r="32" spans="2:21">
      <c r="C32" s="155">
        <f>IF(D12="","-",+C31+1)</f>
        <v>2025</v>
      </c>
      <c r="D32" s="164">
        <f>IF(F31+SUM(E$17:E31)=D$10,F31,D$10-SUM(E$17:E31))</f>
        <v>509518.8053572654</v>
      </c>
      <c r="E32" s="162">
        <f>IF(+I14&lt;F31,I14,D32)</f>
        <v>17751.333847969061</v>
      </c>
      <c r="F32" s="161">
        <f>+D32-E32</f>
        <v>491767.47150929633</v>
      </c>
      <c r="G32" s="163">
        <f t="shared" si="9"/>
        <v>76572.410329615566</v>
      </c>
      <c r="H32" s="145">
        <f t="shared" si="10"/>
        <v>76572.410329615566</v>
      </c>
      <c r="I32" s="158">
        <f>H32-G32</f>
        <v>0</v>
      </c>
      <c r="J32" s="158"/>
      <c r="K32" s="316"/>
      <c r="L32" s="160">
        <f>IF(K32&lt;&gt;0,+G32-K32,0)</f>
        <v>0</v>
      </c>
      <c r="M32" s="316"/>
      <c r="N32" s="160">
        <f>IF(M32&lt;&gt;0,+H32-M32,0)</f>
        <v>0</v>
      </c>
      <c r="O32" s="160">
        <f>+N32-L32</f>
        <v>0</v>
      </c>
      <c r="P32" s="4"/>
      <c r="Q32" s="7"/>
      <c r="R32" s="4"/>
      <c r="S32" s="4"/>
      <c r="T32" s="4"/>
      <c r="U32" s="1"/>
    </row>
    <row r="33" spans="2:21">
      <c r="B33" t="str">
        <f>IF(D33=F31,"","IU")</f>
        <v/>
      </c>
      <c r="C33" s="155">
        <f>IF(D13="","-",+C32+1)</f>
        <v>2026</v>
      </c>
      <c r="D33" s="164">
        <f>IF(F31+SUM(E$17:E31)=D$10,F31,D$10-SUM(E$17:E31))</f>
        <v>509518.8053572654</v>
      </c>
      <c r="E33" s="162">
        <f>IF(+I14&lt;F31,I14,D33)</f>
        <v>17751.333847969061</v>
      </c>
      <c r="F33" s="161">
        <f t="shared" si="8"/>
        <v>491767.47150929633</v>
      </c>
      <c r="G33" s="163">
        <f t="shared" si="9"/>
        <v>76572.410329615566</v>
      </c>
      <c r="H33" s="145">
        <f t="shared" si="10"/>
        <v>76572.410329615566</v>
      </c>
      <c r="I33" s="158">
        <f t="shared" si="0"/>
        <v>0</v>
      </c>
      <c r="J33" s="158"/>
      <c r="K33" s="316"/>
      <c r="L33" s="160">
        <f t="shared" si="2"/>
        <v>0</v>
      </c>
      <c r="M33" s="316"/>
      <c r="N33" s="160">
        <f t="shared" si="4"/>
        <v>0</v>
      </c>
      <c r="O33" s="160">
        <f t="shared" si="5"/>
        <v>0</v>
      </c>
      <c r="P33" s="4"/>
      <c r="R33" s="1"/>
      <c r="S33" s="1"/>
      <c r="T33" s="1"/>
      <c r="U33" s="1"/>
    </row>
    <row r="34" spans="2:21">
      <c r="B34" t="str">
        <f>IF(D34=F33,"","IU")</f>
        <v>IU</v>
      </c>
      <c r="C34" s="422">
        <f>IF(D11="","-",+C33+1)</f>
        <v>2027</v>
      </c>
      <c r="D34" s="431">
        <f>IF(F33+SUM(E$17:E33)=D$10,F33,D$10-SUM(E$17:E33))</f>
        <v>474016.13766132726</v>
      </c>
      <c r="E34" s="424">
        <f>IF(+I14&lt;F33,I14,D34)</f>
        <v>17751.333847969061</v>
      </c>
      <c r="F34" s="423">
        <f t="shared" si="8"/>
        <v>456264.80381335819</v>
      </c>
      <c r="G34" s="425">
        <f t="shared" si="9"/>
        <v>72401.165441729114</v>
      </c>
      <c r="H34" s="426">
        <f t="shared" si="10"/>
        <v>72401.165441729114</v>
      </c>
      <c r="I34" s="427">
        <f t="shared" si="0"/>
        <v>0</v>
      </c>
      <c r="J34" s="427"/>
      <c r="K34" s="428"/>
      <c r="L34" s="429">
        <f t="shared" si="2"/>
        <v>0</v>
      </c>
      <c r="M34" s="428"/>
      <c r="N34" s="429">
        <f t="shared" si="4"/>
        <v>0</v>
      </c>
      <c r="O34" s="429">
        <f t="shared" si="5"/>
        <v>0</v>
      </c>
      <c r="P34" s="430"/>
      <c r="Q34" s="290"/>
      <c r="R34" s="430"/>
      <c r="S34" s="430"/>
      <c r="T34" s="430"/>
      <c r="U34" s="1"/>
    </row>
    <row r="35" spans="2:21">
      <c r="B35" t="str">
        <f t="shared" si="6"/>
        <v/>
      </c>
      <c r="C35" s="155">
        <f>IF(D11="","-",+C34+1)</f>
        <v>2028</v>
      </c>
      <c r="D35" s="164">
        <f>IF(F34+SUM(E$17:E34)=D$10,F34,D$10-SUM(E$17:E34))</f>
        <v>456264.80381335819</v>
      </c>
      <c r="E35" s="162">
        <f>IF(+I14&lt;F34,I14,D35)</f>
        <v>17751.333847969061</v>
      </c>
      <c r="F35" s="161">
        <f t="shared" si="8"/>
        <v>438513.46996538911</v>
      </c>
      <c r="G35" s="163">
        <f t="shared" si="9"/>
        <v>70315.542997785873</v>
      </c>
      <c r="H35" s="145">
        <f t="shared" si="10"/>
        <v>70315.542997785873</v>
      </c>
      <c r="I35" s="158">
        <f t="shared" si="0"/>
        <v>0</v>
      </c>
      <c r="J35" s="158"/>
      <c r="K35" s="316"/>
      <c r="L35" s="160">
        <f t="shared" si="2"/>
        <v>0</v>
      </c>
      <c r="M35" s="316"/>
      <c r="N35" s="160">
        <f t="shared" si="4"/>
        <v>0</v>
      </c>
      <c r="O35" s="160">
        <f t="shared" si="5"/>
        <v>0</v>
      </c>
      <c r="P35" s="4"/>
      <c r="R35" s="1"/>
      <c r="S35" s="1"/>
      <c r="T35" s="1"/>
      <c r="U35" s="1"/>
    </row>
    <row r="36" spans="2:21">
      <c r="B36" t="str">
        <f t="shared" si="6"/>
        <v/>
      </c>
      <c r="C36" s="155">
        <f>IF(D11="","-",+C35+1)</f>
        <v>2029</v>
      </c>
      <c r="D36" s="164">
        <f>IF(F35+SUM(E$17:E35)=D$10,F35,D$10-SUM(E$17:E35))</f>
        <v>438513.46996538911</v>
      </c>
      <c r="E36" s="162">
        <f>IF(+I14&lt;F35,I14,D36)</f>
        <v>17751.333847969061</v>
      </c>
      <c r="F36" s="161">
        <f t="shared" si="8"/>
        <v>420762.13611742004</v>
      </c>
      <c r="G36" s="163">
        <f t="shared" si="9"/>
        <v>68229.920553842647</v>
      </c>
      <c r="H36" s="145">
        <f t="shared" si="10"/>
        <v>68229.920553842647</v>
      </c>
      <c r="I36" s="158">
        <f t="shared" si="0"/>
        <v>0</v>
      </c>
      <c r="J36" s="158"/>
      <c r="K36" s="316"/>
      <c r="L36" s="160">
        <f t="shared" si="2"/>
        <v>0</v>
      </c>
      <c r="M36" s="316"/>
      <c r="N36" s="160">
        <f t="shared" si="4"/>
        <v>0</v>
      </c>
      <c r="O36" s="160">
        <f t="shared" si="5"/>
        <v>0</v>
      </c>
      <c r="P36" s="4"/>
      <c r="R36" s="1"/>
      <c r="S36" s="1"/>
      <c r="T36" s="1"/>
      <c r="U36" s="1"/>
    </row>
    <row r="37" spans="2:21">
      <c r="B37" t="str">
        <f t="shared" si="6"/>
        <v/>
      </c>
      <c r="C37" s="155">
        <f>IF(D11="","-",+C36+1)</f>
        <v>2030</v>
      </c>
      <c r="D37" s="164">
        <f>IF(F36+SUM(E$17:E36)=D$10,F36,D$10-SUM(E$17:E36))</f>
        <v>420762.13611742004</v>
      </c>
      <c r="E37" s="162">
        <f>IF(+I14&lt;F36,I14,D37)</f>
        <v>17751.333847969061</v>
      </c>
      <c r="F37" s="161">
        <f t="shared" si="8"/>
        <v>403010.80226945097</v>
      </c>
      <c r="G37" s="163">
        <f t="shared" si="9"/>
        <v>66144.298109899406</v>
      </c>
      <c r="H37" s="145">
        <f t="shared" si="10"/>
        <v>66144.298109899406</v>
      </c>
      <c r="I37" s="158">
        <f t="shared" si="0"/>
        <v>0</v>
      </c>
      <c r="J37" s="158"/>
      <c r="K37" s="316"/>
      <c r="L37" s="160">
        <f t="shared" si="2"/>
        <v>0</v>
      </c>
      <c r="M37" s="316"/>
      <c r="N37" s="160">
        <f t="shared" si="4"/>
        <v>0</v>
      </c>
      <c r="O37" s="160">
        <f t="shared" si="5"/>
        <v>0</v>
      </c>
      <c r="P37" s="4"/>
      <c r="R37" s="1"/>
      <c r="S37" s="1"/>
      <c r="T37" s="1"/>
      <c r="U37" s="1"/>
    </row>
    <row r="38" spans="2:21">
      <c r="B38" t="str">
        <f t="shared" si="6"/>
        <v/>
      </c>
      <c r="C38" s="155">
        <f>IF(D11="","-",+C37+1)</f>
        <v>2031</v>
      </c>
      <c r="D38" s="164">
        <f>IF(F37+SUM(E$17:E37)=D$10,F37,D$10-SUM(E$17:E37))</f>
        <v>403010.80226945097</v>
      </c>
      <c r="E38" s="162">
        <f>IF(+I14&lt;F37,I14,D38)</f>
        <v>17751.333847969061</v>
      </c>
      <c r="F38" s="161">
        <f t="shared" si="8"/>
        <v>385259.4684214819</v>
      </c>
      <c r="G38" s="163">
        <f t="shared" si="9"/>
        <v>64058.67566595618</v>
      </c>
      <c r="H38" s="145">
        <f t="shared" si="10"/>
        <v>64058.67566595618</v>
      </c>
      <c r="I38" s="158">
        <f t="shared" si="0"/>
        <v>0</v>
      </c>
      <c r="J38" s="158"/>
      <c r="K38" s="316"/>
      <c r="L38" s="160">
        <f t="shared" si="2"/>
        <v>0</v>
      </c>
      <c r="M38" s="316"/>
      <c r="N38" s="160">
        <f t="shared" si="4"/>
        <v>0</v>
      </c>
      <c r="O38" s="160">
        <f t="shared" si="5"/>
        <v>0</v>
      </c>
      <c r="P38" s="4"/>
      <c r="R38" s="1"/>
      <c r="S38" s="1"/>
      <c r="T38" s="1"/>
      <c r="U38" s="1"/>
    </row>
    <row r="39" spans="2:21">
      <c r="B39" t="str">
        <f t="shared" si="6"/>
        <v/>
      </c>
      <c r="C39" s="155">
        <f>IF(D11="","-",+C38+1)</f>
        <v>2032</v>
      </c>
      <c r="D39" s="164">
        <f>IF(F38+SUM(E$17:E38)=D$10,F38,D$10-SUM(E$17:E38))</f>
        <v>385259.4684214819</v>
      </c>
      <c r="E39" s="162">
        <f>IF(+I14&lt;F38,I14,D39)</f>
        <v>17751.333847969061</v>
      </c>
      <c r="F39" s="161">
        <f t="shared" si="8"/>
        <v>367508.13457351283</v>
      </c>
      <c r="G39" s="163">
        <f t="shared" si="9"/>
        <v>61973.053222012953</v>
      </c>
      <c r="H39" s="145">
        <f t="shared" si="10"/>
        <v>61973.053222012953</v>
      </c>
      <c r="I39" s="158">
        <f t="shared" si="0"/>
        <v>0</v>
      </c>
      <c r="J39" s="158"/>
      <c r="K39" s="316"/>
      <c r="L39" s="160">
        <f t="shared" si="2"/>
        <v>0</v>
      </c>
      <c r="M39" s="316"/>
      <c r="N39" s="160">
        <f t="shared" si="4"/>
        <v>0</v>
      </c>
      <c r="O39" s="160">
        <f t="shared" si="5"/>
        <v>0</v>
      </c>
      <c r="P39" s="4"/>
      <c r="R39" s="1"/>
      <c r="S39" s="1"/>
      <c r="T39" s="1"/>
      <c r="U39" s="1"/>
    </row>
    <row r="40" spans="2:21">
      <c r="B40" t="str">
        <f t="shared" si="6"/>
        <v/>
      </c>
      <c r="C40" s="155">
        <f>IF(D11="","-",+C39+1)</f>
        <v>2033</v>
      </c>
      <c r="D40" s="164">
        <f>IF(F39+SUM(E$17:E39)=D$10,F39,D$10-SUM(E$17:E39))</f>
        <v>367508.13457351283</v>
      </c>
      <c r="E40" s="162">
        <f>IF(+I14&lt;F39,I14,D40)</f>
        <v>17751.333847969061</v>
      </c>
      <c r="F40" s="161">
        <f t="shared" si="8"/>
        <v>349756.80072554376</v>
      </c>
      <c r="G40" s="163">
        <f t="shared" si="9"/>
        <v>59887.430778069713</v>
      </c>
      <c r="H40" s="145">
        <f t="shared" si="10"/>
        <v>59887.430778069713</v>
      </c>
      <c r="I40" s="158">
        <f t="shared" si="0"/>
        <v>0</v>
      </c>
      <c r="J40" s="158"/>
      <c r="K40" s="316"/>
      <c r="L40" s="160">
        <f t="shared" si="2"/>
        <v>0</v>
      </c>
      <c r="M40" s="316"/>
      <c r="N40" s="160">
        <f t="shared" si="4"/>
        <v>0</v>
      </c>
      <c r="O40" s="160">
        <f t="shared" si="5"/>
        <v>0</v>
      </c>
      <c r="P40" s="4"/>
      <c r="R40" s="1"/>
      <c r="S40" s="1"/>
      <c r="T40" s="1"/>
      <c r="U40" s="1"/>
    </row>
    <row r="41" spans="2:21">
      <c r="B41" t="str">
        <f t="shared" si="6"/>
        <v/>
      </c>
      <c r="C41" s="155">
        <f>IF(D12="","-",+C40+1)</f>
        <v>2034</v>
      </c>
      <c r="D41" s="164">
        <f>IF(F40+SUM(E$17:E40)=D$10,F40,D$10-SUM(E$17:E40))</f>
        <v>349756.80072554376</v>
      </c>
      <c r="E41" s="162">
        <f>IF(+I14&lt;F40,I14,D41)</f>
        <v>17751.333847969061</v>
      </c>
      <c r="F41" s="161">
        <f t="shared" si="8"/>
        <v>332005.46687757468</v>
      </c>
      <c r="G41" s="163">
        <f t="shared" si="9"/>
        <v>57801.808334126486</v>
      </c>
      <c r="H41" s="145">
        <f t="shared" si="10"/>
        <v>57801.808334126486</v>
      </c>
      <c r="I41" s="158">
        <f t="shared" si="0"/>
        <v>0</v>
      </c>
      <c r="J41" s="158"/>
      <c r="K41" s="316"/>
      <c r="L41" s="160">
        <f t="shared" si="2"/>
        <v>0</v>
      </c>
      <c r="M41" s="316"/>
      <c r="N41" s="160">
        <f t="shared" si="4"/>
        <v>0</v>
      </c>
      <c r="O41" s="160">
        <f t="shared" si="5"/>
        <v>0</v>
      </c>
      <c r="P41" s="4"/>
      <c r="R41" s="1"/>
      <c r="S41" s="1"/>
      <c r="T41" s="1"/>
      <c r="U41" s="1"/>
    </row>
    <row r="42" spans="2:21">
      <c r="B42" t="str">
        <f t="shared" si="6"/>
        <v/>
      </c>
      <c r="C42" s="155">
        <f>IF(D13="","-",+C41+1)</f>
        <v>2035</v>
      </c>
      <c r="D42" s="164">
        <f>IF(F41+SUM(E$17:E41)=D$10,F41,D$10-SUM(E$17:E41))</f>
        <v>332005.46687757468</v>
      </c>
      <c r="E42" s="162">
        <f>IF(+I14&lt;F41,I14,D42)</f>
        <v>17751.333847969061</v>
      </c>
      <c r="F42" s="161">
        <f t="shared" si="8"/>
        <v>314254.13302960561</v>
      </c>
      <c r="G42" s="163">
        <f t="shared" si="9"/>
        <v>55716.185890183246</v>
      </c>
      <c r="H42" s="145">
        <f t="shared" si="10"/>
        <v>55716.185890183246</v>
      </c>
      <c r="I42" s="158">
        <f t="shared" si="0"/>
        <v>0</v>
      </c>
      <c r="J42" s="158"/>
      <c r="K42" s="316"/>
      <c r="L42" s="160">
        <f t="shared" si="2"/>
        <v>0</v>
      </c>
      <c r="M42" s="316"/>
      <c r="N42" s="160">
        <f t="shared" si="4"/>
        <v>0</v>
      </c>
      <c r="O42" s="160">
        <f t="shared" si="5"/>
        <v>0</v>
      </c>
      <c r="P42" s="4"/>
      <c r="R42" s="1"/>
      <c r="S42" s="1"/>
      <c r="T42" s="1"/>
      <c r="U42" s="1"/>
    </row>
    <row r="43" spans="2:21">
      <c r="B43" t="str">
        <f t="shared" si="6"/>
        <v/>
      </c>
      <c r="C43" s="155">
        <f>IF(D11="","-",+C42+1)</f>
        <v>2036</v>
      </c>
      <c r="D43" s="164">
        <f>IF(F42+SUM(E$17:E42)=D$10,F42,D$10-SUM(E$17:E42))</f>
        <v>314254.13302960561</v>
      </c>
      <c r="E43" s="162">
        <f>IF(+I14&lt;F42,I14,D43)</f>
        <v>17751.333847969061</v>
      </c>
      <c r="F43" s="161">
        <f t="shared" si="8"/>
        <v>296502.79918163654</v>
      </c>
      <c r="G43" s="163">
        <f t="shared" si="9"/>
        <v>53630.563446240019</v>
      </c>
      <c r="H43" s="145">
        <f t="shared" si="10"/>
        <v>53630.563446240019</v>
      </c>
      <c r="I43" s="158">
        <f t="shared" si="0"/>
        <v>0</v>
      </c>
      <c r="J43" s="158"/>
      <c r="K43" s="316"/>
      <c r="L43" s="160">
        <f t="shared" si="2"/>
        <v>0</v>
      </c>
      <c r="M43" s="316"/>
      <c r="N43" s="160">
        <f t="shared" si="4"/>
        <v>0</v>
      </c>
      <c r="O43" s="160">
        <f t="shared" si="5"/>
        <v>0</v>
      </c>
      <c r="P43" s="4"/>
      <c r="R43" s="1"/>
      <c r="S43" s="1"/>
      <c r="T43" s="1"/>
      <c r="U43" s="1"/>
    </row>
    <row r="44" spans="2:21">
      <c r="B44" t="str">
        <f t="shared" si="6"/>
        <v/>
      </c>
      <c r="C44" s="155">
        <f>IF(D11="","-",+C43+1)</f>
        <v>2037</v>
      </c>
      <c r="D44" s="164">
        <f>IF(F43+SUM(E$17:E43)=D$10,F43,D$10-SUM(E$17:E43))</f>
        <v>296502.79918163654</v>
      </c>
      <c r="E44" s="162">
        <f>IF(+I14&lt;F43,I14,D44)</f>
        <v>17751.333847969061</v>
      </c>
      <c r="F44" s="161">
        <f t="shared" si="8"/>
        <v>278751.46533366747</v>
      </c>
      <c r="G44" s="163">
        <f t="shared" si="9"/>
        <v>51544.941002296779</v>
      </c>
      <c r="H44" s="145">
        <f t="shared" si="10"/>
        <v>51544.941002296779</v>
      </c>
      <c r="I44" s="158">
        <f t="shared" si="0"/>
        <v>0</v>
      </c>
      <c r="J44" s="158"/>
      <c r="K44" s="316"/>
      <c r="L44" s="160">
        <f t="shared" si="2"/>
        <v>0</v>
      </c>
      <c r="M44" s="316"/>
      <c r="N44" s="160">
        <f t="shared" si="4"/>
        <v>0</v>
      </c>
      <c r="O44" s="160">
        <f t="shared" si="5"/>
        <v>0</v>
      </c>
      <c r="P44" s="4"/>
      <c r="R44" s="1"/>
      <c r="S44" s="1"/>
      <c r="T44" s="1"/>
      <c r="U44" s="1"/>
    </row>
    <row r="45" spans="2:21">
      <c r="B45" t="str">
        <f t="shared" si="6"/>
        <v/>
      </c>
      <c r="C45" s="155">
        <f>IF(D11="","-",+C44+1)</f>
        <v>2038</v>
      </c>
      <c r="D45" s="164">
        <f>IF(F44+SUM(E$17:E44)=D$10,F44,D$10-SUM(E$17:E44))</f>
        <v>278751.46533366747</v>
      </c>
      <c r="E45" s="162">
        <f>IF(+I14&lt;F44,I14,D45)</f>
        <v>17751.333847969061</v>
      </c>
      <c r="F45" s="161">
        <f t="shared" si="8"/>
        <v>261000.1314856984</v>
      </c>
      <c r="G45" s="163">
        <f t="shared" si="9"/>
        <v>49459.318558353552</v>
      </c>
      <c r="H45" s="145">
        <f t="shared" si="10"/>
        <v>49459.318558353552</v>
      </c>
      <c r="I45" s="158">
        <f t="shared" si="0"/>
        <v>0</v>
      </c>
      <c r="J45" s="158"/>
      <c r="K45" s="316"/>
      <c r="L45" s="160">
        <f t="shared" si="2"/>
        <v>0</v>
      </c>
      <c r="M45" s="316"/>
      <c r="N45" s="160">
        <f t="shared" si="4"/>
        <v>0</v>
      </c>
      <c r="O45" s="160">
        <f t="shared" si="5"/>
        <v>0</v>
      </c>
      <c r="P45" s="4"/>
      <c r="R45" s="1"/>
      <c r="S45" s="1"/>
      <c r="T45" s="1"/>
      <c r="U45" s="1"/>
    </row>
    <row r="46" spans="2:21">
      <c r="B46" t="str">
        <f t="shared" si="6"/>
        <v/>
      </c>
      <c r="C46" s="155">
        <f>IF(D11="","-",+C45+1)</f>
        <v>2039</v>
      </c>
      <c r="D46" s="164">
        <f>IF(F45+SUM(E$17:E45)=D$10,F45,D$10-SUM(E$17:E45))</f>
        <v>261000.1314856984</v>
      </c>
      <c r="E46" s="162">
        <f>IF(+I14&lt;F45,I14,D46)</f>
        <v>17751.333847969061</v>
      </c>
      <c r="F46" s="161">
        <f t="shared" si="8"/>
        <v>243248.79763772932</v>
      </c>
      <c r="G46" s="163">
        <f t="shared" si="9"/>
        <v>47373.696114410319</v>
      </c>
      <c r="H46" s="145">
        <f t="shared" si="10"/>
        <v>47373.696114410319</v>
      </c>
      <c r="I46" s="158">
        <f t="shared" si="0"/>
        <v>0</v>
      </c>
      <c r="J46" s="158"/>
      <c r="K46" s="316"/>
      <c r="L46" s="160">
        <f t="shared" si="2"/>
        <v>0</v>
      </c>
      <c r="M46" s="316"/>
      <c r="N46" s="160">
        <f t="shared" si="4"/>
        <v>0</v>
      </c>
      <c r="O46" s="160">
        <f t="shared" si="5"/>
        <v>0</v>
      </c>
      <c r="P46" s="4"/>
      <c r="R46" s="1"/>
      <c r="S46" s="1"/>
      <c r="T46" s="1"/>
      <c r="U46" s="1"/>
    </row>
    <row r="47" spans="2:21">
      <c r="B47" t="str">
        <f t="shared" si="6"/>
        <v/>
      </c>
      <c r="C47" s="155">
        <f>IF(D11="","-",+C46+1)</f>
        <v>2040</v>
      </c>
      <c r="D47" s="164">
        <f>IF(F46+SUM(E$17:E46)=D$10,F46,D$10-SUM(E$17:E46))</f>
        <v>243248.79763772932</v>
      </c>
      <c r="E47" s="162">
        <f>IF(+I14&lt;F46,I14,D47)</f>
        <v>17751.333847969061</v>
      </c>
      <c r="F47" s="161">
        <f t="shared" si="8"/>
        <v>225497.46378976025</v>
      </c>
      <c r="G47" s="163">
        <f t="shared" si="9"/>
        <v>45288.073670467085</v>
      </c>
      <c r="H47" s="145">
        <f t="shared" si="10"/>
        <v>45288.073670467085</v>
      </c>
      <c r="I47" s="158">
        <f t="shared" si="0"/>
        <v>0</v>
      </c>
      <c r="J47" s="158"/>
      <c r="K47" s="316"/>
      <c r="L47" s="160">
        <f t="shared" si="2"/>
        <v>0</v>
      </c>
      <c r="M47" s="316"/>
      <c r="N47" s="160">
        <f t="shared" si="4"/>
        <v>0</v>
      </c>
      <c r="O47" s="160">
        <f t="shared" si="5"/>
        <v>0</v>
      </c>
      <c r="P47" s="4"/>
      <c r="R47" s="1"/>
      <c r="S47" s="1"/>
      <c r="T47" s="1"/>
      <c r="U47" s="1"/>
    </row>
    <row r="48" spans="2:21">
      <c r="B48" t="str">
        <f t="shared" si="6"/>
        <v/>
      </c>
      <c r="C48" s="155">
        <f>IF(D11="","-",+C47+1)</f>
        <v>2041</v>
      </c>
      <c r="D48" s="164">
        <f>IF(F47+SUM(E$17:E47)=D$10,F47,D$10-SUM(E$17:E47))</f>
        <v>225497.46378976025</v>
      </c>
      <c r="E48" s="162">
        <f>IF(+I14&lt;F47,I14,D48)</f>
        <v>17751.333847969061</v>
      </c>
      <c r="F48" s="161">
        <f t="shared" si="8"/>
        <v>207746.12994179118</v>
      </c>
      <c r="G48" s="163">
        <f t="shared" si="9"/>
        <v>43202.451226523859</v>
      </c>
      <c r="H48" s="145">
        <f t="shared" si="10"/>
        <v>43202.451226523859</v>
      </c>
      <c r="I48" s="158">
        <f t="shared" si="0"/>
        <v>0</v>
      </c>
      <c r="J48" s="158"/>
      <c r="K48" s="316"/>
      <c r="L48" s="160">
        <f t="shared" si="2"/>
        <v>0</v>
      </c>
      <c r="M48" s="316"/>
      <c r="N48" s="160">
        <f t="shared" si="4"/>
        <v>0</v>
      </c>
      <c r="O48" s="160">
        <f t="shared" si="5"/>
        <v>0</v>
      </c>
      <c r="P48" s="4"/>
      <c r="R48" s="1"/>
      <c r="S48" s="1"/>
      <c r="T48" s="1"/>
      <c r="U48" s="1"/>
    </row>
    <row r="49" spans="2:21">
      <c r="B49" t="str">
        <f t="shared" si="6"/>
        <v/>
      </c>
      <c r="C49" s="155">
        <f>IF(D11="","-",+C48+1)</f>
        <v>2042</v>
      </c>
      <c r="D49" s="164">
        <f>IF(F48+SUM(E$17:E48)=D$10,F48,D$10-SUM(E$17:E48))</f>
        <v>207746.12994179118</v>
      </c>
      <c r="E49" s="162">
        <f>IF(+I14&lt;F48,I14,D49)</f>
        <v>17751.333847969061</v>
      </c>
      <c r="F49" s="161">
        <f t="shared" si="8"/>
        <v>189994.79609382211</v>
      </c>
      <c r="G49" s="163">
        <f t="shared" si="9"/>
        <v>41116.828782580618</v>
      </c>
      <c r="H49" s="145">
        <f t="shared" si="10"/>
        <v>41116.828782580618</v>
      </c>
      <c r="I49" s="158">
        <f t="shared" si="0"/>
        <v>0</v>
      </c>
      <c r="J49" s="158"/>
      <c r="K49" s="316"/>
      <c r="L49" s="160">
        <f t="shared" si="2"/>
        <v>0</v>
      </c>
      <c r="M49" s="316"/>
      <c r="N49" s="160">
        <f t="shared" si="4"/>
        <v>0</v>
      </c>
      <c r="O49" s="160">
        <f t="shared" si="5"/>
        <v>0</v>
      </c>
      <c r="P49" s="4"/>
      <c r="R49" s="1"/>
      <c r="S49" s="1"/>
      <c r="T49" s="1"/>
      <c r="U49" s="1"/>
    </row>
    <row r="50" spans="2:21">
      <c r="B50" t="str">
        <f t="shared" si="6"/>
        <v/>
      </c>
      <c r="C50" s="155">
        <f>IF(D11="","-",+C49+1)</f>
        <v>2043</v>
      </c>
      <c r="D50" s="164">
        <f>IF(F49+SUM(E$17:E49)=D$10,F49,D$10-SUM(E$17:E49))</f>
        <v>189994.79609382211</v>
      </c>
      <c r="E50" s="162">
        <f>IF(+I14&lt;F49,I14,D50)</f>
        <v>17751.333847969061</v>
      </c>
      <c r="F50" s="161">
        <f t="shared" ref="F50:F73" si="11">+D50-E50</f>
        <v>172243.46224585304</v>
      </c>
      <c r="G50" s="163">
        <f t="shared" si="9"/>
        <v>39031.206338637392</v>
      </c>
      <c r="H50" s="145">
        <f t="shared" si="10"/>
        <v>39031.206338637392</v>
      </c>
      <c r="I50" s="158">
        <f t="shared" ref="I50:I73" si="12">H50-G50</f>
        <v>0</v>
      </c>
      <c r="J50" s="158"/>
      <c r="K50" s="316"/>
      <c r="L50" s="160">
        <f t="shared" ref="L50:L73" si="13">IF(K50&lt;&gt;0,+G50-K50,0)</f>
        <v>0</v>
      </c>
      <c r="M50" s="316"/>
      <c r="N50" s="160">
        <f t="shared" ref="N50:N73" si="14">IF(M50&lt;&gt;0,+H50-M50,0)</f>
        <v>0</v>
      </c>
      <c r="O50" s="160">
        <f t="shared" ref="O50:O73" si="15">+N50-L50</f>
        <v>0</v>
      </c>
      <c r="P50" s="4"/>
      <c r="R50" s="1"/>
      <c r="S50" s="1"/>
      <c r="T50" s="1"/>
      <c r="U50" s="1"/>
    </row>
    <row r="51" spans="2:21">
      <c r="B51" t="str">
        <f t="shared" si="6"/>
        <v/>
      </c>
      <c r="C51" s="155">
        <f>IF(D11="","-",+C50+1)</f>
        <v>2044</v>
      </c>
      <c r="D51" s="164">
        <f>IF(F50+SUM(E$17:E50)=D$10,F50,D$10-SUM(E$17:E50))</f>
        <v>172243.46224585304</v>
      </c>
      <c r="E51" s="162">
        <f>IF(+I14&lt;F50,I14,D51)</f>
        <v>17751.333847969061</v>
      </c>
      <c r="F51" s="161">
        <f t="shared" si="11"/>
        <v>154492.12839788396</v>
      </c>
      <c r="G51" s="163">
        <f t="shared" si="9"/>
        <v>36945.583894694159</v>
      </c>
      <c r="H51" s="145">
        <f t="shared" si="10"/>
        <v>36945.583894694159</v>
      </c>
      <c r="I51" s="158">
        <f t="shared" si="12"/>
        <v>0</v>
      </c>
      <c r="J51" s="158"/>
      <c r="K51" s="316"/>
      <c r="L51" s="160">
        <f t="shared" si="13"/>
        <v>0</v>
      </c>
      <c r="M51" s="316"/>
      <c r="N51" s="160">
        <f t="shared" si="14"/>
        <v>0</v>
      </c>
      <c r="O51" s="160">
        <f t="shared" si="15"/>
        <v>0</v>
      </c>
      <c r="P51" s="4"/>
      <c r="R51" s="1"/>
      <c r="S51" s="1"/>
      <c r="T51" s="1"/>
      <c r="U51" s="1"/>
    </row>
    <row r="52" spans="2:21">
      <c r="B52" t="str">
        <f t="shared" si="6"/>
        <v/>
      </c>
      <c r="C52" s="155">
        <f>IF(D11="","-",+C51+1)</f>
        <v>2045</v>
      </c>
      <c r="D52" s="164">
        <f>IF(F51+SUM(E$17:E51)=D$10,F51,D$10-SUM(E$17:E51))</f>
        <v>154492.12839788396</v>
      </c>
      <c r="E52" s="162">
        <f>IF(+I14&lt;F51,I14,D52)</f>
        <v>17751.333847969061</v>
      </c>
      <c r="F52" s="161">
        <f t="shared" si="11"/>
        <v>136740.79454991489</v>
      </c>
      <c r="G52" s="163">
        <f t="shared" si="9"/>
        <v>34859.961450750925</v>
      </c>
      <c r="H52" s="145">
        <f t="shared" si="10"/>
        <v>34859.961450750925</v>
      </c>
      <c r="I52" s="158">
        <f t="shared" si="12"/>
        <v>0</v>
      </c>
      <c r="J52" s="158"/>
      <c r="K52" s="316"/>
      <c r="L52" s="160">
        <f t="shared" si="13"/>
        <v>0</v>
      </c>
      <c r="M52" s="316"/>
      <c r="N52" s="160">
        <f t="shared" si="14"/>
        <v>0</v>
      </c>
      <c r="O52" s="160">
        <f t="shared" si="15"/>
        <v>0</v>
      </c>
      <c r="P52" s="4"/>
      <c r="R52" s="1"/>
      <c r="S52" s="1"/>
      <c r="T52" s="1"/>
      <c r="U52" s="1"/>
    </row>
    <row r="53" spans="2:21">
      <c r="B53" t="str">
        <f t="shared" si="6"/>
        <v/>
      </c>
      <c r="C53" s="155">
        <f>IF(D11="","-",+C52+1)</f>
        <v>2046</v>
      </c>
      <c r="D53" s="164">
        <f>IF(F52+SUM(E$17:E52)=D$10,F52,D$10-SUM(E$17:E52))</f>
        <v>136740.79454991489</v>
      </c>
      <c r="E53" s="162">
        <f>IF(+I14&lt;F52,I14,D53)</f>
        <v>17751.333847969061</v>
      </c>
      <c r="F53" s="161">
        <f t="shared" si="11"/>
        <v>118989.46070194583</v>
      </c>
      <c r="G53" s="163">
        <f t="shared" si="9"/>
        <v>32774.339006807691</v>
      </c>
      <c r="H53" s="145">
        <f t="shared" si="10"/>
        <v>32774.339006807691</v>
      </c>
      <c r="I53" s="158">
        <f t="shared" si="12"/>
        <v>0</v>
      </c>
      <c r="J53" s="158"/>
      <c r="K53" s="316"/>
      <c r="L53" s="160">
        <f t="shared" si="13"/>
        <v>0</v>
      </c>
      <c r="M53" s="316"/>
      <c r="N53" s="160">
        <f t="shared" si="14"/>
        <v>0</v>
      </c>
      <c r="O53" s="160">
        <f t="shared" si="15"/>
        <v>0</v>
      </c>
      <c r="P53" s="4"/>
      <c r="R53" s="1"/>
      <c r="S53" s="1"/>
      <c r="T53" s="1"/>
      <c r="U53" s="1"/>
    </row>
    <row r="54" spans="2:21">
      <c r="B54" t="str">
        <f t="shared" si="6"/>
        <v/>
      </c>
      <c r="C54" s="155">
        <f>IF(D11="","-",+C53+1)</f>
        <v>2047</v>
      </c>
      <c r="D54" s="164">
        <f>IF(F53+SUM(E$17:E53)=D$10,F53,D$10-SUM(E$17:E53))</f>
        <v>118989.46070194583</v>
      </c>
      <c r="E54" s="162">
        <f>IF(+I14&lt;F53,I14,D54)</f>
        <v>17751.333847969061</v>
      </c>
      <c r="F54" s="161">
        <f t="shared" si="11"/>
        <v>101238.12685397678</v>
      </c>
      <c r="G54" s="163">
        <f t="shared" si="9"/>
        <v>30688.716562864465</v>
      </c>
      <c r="H54" s="145">
        <f t="shared" si="10"/>
        <v>30688.716562864465</v>
      </c>
      <c r="I54" s="158">
        <f t="shared" si="12"/>
        <v>0</v>
      </c>
      <c r="J54" s="158"/>
      <c r="K54" s="316"/>
      <c r="L54" s="160">
        <f t="shared" si="13"/>
        <v>0</v>
      </c>
      <c r="M54" s="316"/>
      <c r="N54" s="160">
        <f t="shared" si="14"/>
        <v>0</v>
      </c>
      <c r="O54" s="160">
        <f t="shared" si="15"/>
        <v>0</v>
      </c>
      <c r="P54" s="4"/>
      <c r="R54" s="1"/>
      <c r="S54" s="1"/>
      <c r="T54" s="1"/>
      <c r="U54" s="1"/>
    </row>
    <row r="55" spans="2:21">
      <c r="B55" t="str">
        <f t="shared" si="6"/>
        <v/>
      </c>
      <c r="C55" s="155">
        <f>IF(D11="","-",+C54+1)</f>
        <v>2048</v>
      </c>
      <c r="D55" s="164">
        <f>IF(F54+SUM(E$17:E54)=D$10,F54,D$10-SUM(E$17:E54))</f>
        <v>101238.12685397678</v>
      </c>
      <c r="E55" s="162">
        <f>IF(+I14&lt;F54,I14,D55)</f>
        <v>17751.333847969061</v>
      </c>
      <c r="F55" s="161">
        <f t="shared" si="11"/>
        <v>83486.79300600772</v>
      </c>
      <c r="G55" s="163">
        <f t="shared" si="9"/>
        <v>28603.094118921232</v>
      </c>
      <c r="H55" s="145">
        <f t="shared" si="10"/>
        <v>28603.094118921232</v>
      </c>
      <c r="I55" s="158">
        <f t="shared" si="12"/>
        <v>0</v>
      </c>
      <c r="J55" s="158"/>
      <c r="K55" s="316"/>
      <c r="L55" s="160">
        <f t="shared" si="13"/>
        <v>0</v>
      </c>
      <c r="M55" s="316"/>
      <c r="N55" s="160">
        <f t="shared" si="14"/>
        <v>0</v>
      </c>
      <c r="O55" s="160">
        <f t="shared" si="15"/>
        <v>0</v>
      </c>
      <c r="P55" s="4"/>
      <c r="R55" s="1"/>
      <c r="S55" s="1"/>
      <c r="T55" s="1"/>
      <c r="U55" s="1"/>
    </row>
    <row r="56" spans="2:21">
      <c r="B56" t="str">
        <f t="shared" si="6"/>
        <v/>
      </c>
      <c r="C56" s="155">
        <f>IF(D11="","-",+C55+1)</f>
        <v>2049</v>
      </c>
      <c r="D56" s="164">
        <f>IF(F55+SUM(E$17:E55)=D$10,F55,D$10-SUM(E$17:E55))</f>
        <v>83486.79300600772</v>
      </c>
      <c r="E56" s="162">
        <f>IF(+I14&lt;F55,I14,D56)</f>
        <v>17751.333847969061</v>
      </c>
      <c r="F56" s="161">
        <f t="shared" si="11"/>
        <v>65735.459158038662</v>
      </c>
      <c r="G56" s="163">
        <f t="shared" si="9"/>
        <v>26517.471674978002</v>
      </c>
      <c r="H56" s="145">
        <f t="shared" si="10"/>
        <v>26517.471674978002</v>
      </c>
      <c r="I56" s="158">
        <f t="shared" si="12"/>
        <v>0</v>
      </c>
      <c r="J56" s="158"/>
      <c r="K56" s="316"/>
      <c r="L56" s="160">
        <f t="shared" si="13"/>
        <v>0</v>
      </c>
      <c r="M56" s="316"/>
      <c r="N56" s="160">
        <f t="shared" si="14"/>
        <v>0</v>
      </c>
      <c r="O56" s="160">
        <f t="shared" si="15"/>
        <v>0</v>
      </c>
      <c r="P56" s="4"/>
      <c r="R56" s="1"/>
      <c r="S56" s="1"/>
      <c r="T56" s="1"/>
      <c r="U56" s="1"/>
    </row>
    <row r="57" spans="2:21">
      <c r="B57" t="str">
        <f t="shared" si="6"/>
        <v/>
      </c>
      <c r="C57" s="155">
        <f>IF(D11="","-",+C56+1)</f>
        <v>2050</v>
      </c>
      <c r="D57" s="164">
        <f>IF(F56+SUM(E$17:E56)=D$10,F56,D$10-SUM(E$17:E56))</f>
        <v>65735.459158038662</v>
      </c>
      <c r="E57" s="162">
        <f>IF(+I14&lt;F56,I14,D57)</f>
        <v>17751.333847969061</v>
      </c>
      <c r="F57" s="161">
        <f t="shared" si="11"/>
        <v>47984.125310069605</v>
      </c>
      <c r="G57" s="163">
        <f t="shared" si="9"/>
        <v>24431.849231034772</v>
      </c>
      <c r="H57" s="145">
        <f t="shared" si="10"/>
        <v>24431.849231034772</v>
      </c>
      <c r="I57" s="158">
        <f t="shared" si="12"/>
        <v>0</v>
      </c>
      <c r="J57" s="158"/>
      <c r="K57" s="316"/>
      <c r="L57" s="160">
        <f t="shared" si="13"/>
        <v>0</v>
      </c>
      <c r="M57" s="316"/>
      <c r="N57" s="160">
        <f t="shared" si="14"/>
        <v>0</v>
      </c>
      <c r="O57" s="160">
        <f t="shared" si="15"/>
        <v>0</v>
      </c>
      <c r="P57" s="4"/>
      <c r="R57" s="1"/>
      <c r="S57" s="1"/>
      <c r="T57" s="1"/>
      <c r="U57" s="1"/>
    </row>
    <row r="58" spans="2:21">
      <c r="B58" t="str">
        <f t="shared" si="6"/>
        <v/>
      </c>
      <c r="C58" s="155">
        <f>IF(D11="","-",+C57+1)</f>
        <v>2051</v>
      </c>
      <c r="D58" s="164">
        <f>IF(F57+SUM(E$17:E57)=D$10,F57,D$10-SUM(E$17:E57))</f>
        <v>47984.125310069605</v>
      </c>
      <c r="E58" s="162">
        <f>IF(+I14&lt;F57,I14,D58)</f>
        <v>17751.333847969061</v>
      </c>
      <c r="F58" s="161">
        <f t="shared" si="11"/>
        <v>30232.791462100544</v>
      </c>
      <c r="G58" s="163">
        <f t="shared" si="9"/>
        <v>22346.226787091538</v>
      </c>
      <c r="H58" s="145">
        <f t="shared" si="10"/>
        <v>22346.226787091538</v>
      </c>
      <c r="I58" s="158">
        <f t="shared" si="12"/>
        <v>0</v>
      </c>
      <c r="J58" s="158"/>
      <c r="K58" s="316"/>
      <c r="L58" s="160">
        <f t="shared" si="13"/>
        <v>0</v>
      </c>
      <c r="M58" s="316"/>
      <c r="N58" s="160">
        <f t="shared" si="14"/>
        <v>0</v>
      </c>
      <c r="O58" s="160">
        <f t="shared" si="15"/>
        <v>0</v>
      </c>
      <c r="P58" s="4"/>
      <c r="R58" s="1"/>
      <c r="S58" s="1"/>
      <c r="T58" s="1"/>
      <c r="U58" s="1"/>
    </row>
    <row r="59" spans="2:21">
      <c r="B59" t="str">
        <f t="shared" si="6"/>
        <v/>
      </c>
      <c r="C59" s="155">
        <f>IF(D11="","-",+C58+1)</f>
        <v>2052</v>
      </c>
      <c r="D59" s="164">
        <f>IF(F58+SUM(E$17:E58)=D$10,F58,D$10-SUM(E$17:E58))</f>
        <v>30232.791462100544</v>
      </c>
      <c r="E59" s="162">
        <f>IF(+I14&lt;F58,I14,D59)</f>
        <v>17751.333847969061</v>
      </c>
      <c r="F59" s="161">
        <f t="shared" si="11"/>
        <v>12481.457614131483</v>
      </c>
      <c r="G59" s="163">
        <f t="shared" si="9"/>
        <v>20260.604343148309</v>
      </c>
      <c r="H59" s="145">
        <f t="shared" si="10"/>
        <v>20260.604343148309</v>
      </c>
      <c r="I59" s="158">
        <f t="shared" si="12"/>
        <v>0</v>
      </c>
      <c r="J59" s="158"/>
      <c r="K59" s="316"/>
      <c r="L59" s="160">
        <f t="shared" si="13"/>
        <v>0</v>
      </c>
      <c r="M59" s="316"/>
      <c r="N59" s="160">
        <f t="shared" si="14"/>
        <v>0</v>
      </c>
      <c r="O59" s="160">
        <f t="shared" si="15"/>
        <v>0</v>
      </c>
      <c r="P59" s="4"/>
      <c r="R59" s="1"/>
      <c r="S59" s="1"/>
      <c r="T59" s="1"/>
      <c r="U59" s="1"/>
    </row>
    <row r="60" spans="2:21">
      <c r="B60" t="str">
        <f t="shared" si="6"/>
        <v/>
      </c>
      <c r="C60" s="155">
        <f>IF(D11="","-",+C59+1)</f>
        <v>2053</v>
      </c>
      <c r="D60" s="164">
        <f>IF(F59+SUM(E$17:E59)=D$10,F59,D$10-SUM(E$17:E59))</f>
        <v>12481.457614131483</v>
      </c>
      <c r="E60" s="162">
        <f>IF(+I14&lt;F59,I14,D60)</f>
        <v>12481.457614131483</v>
      </c>
      <c r="F60" s="161">
        <f t="shared" si="11"/>
        <v>0</v>
      </c>
      <c r="G60" s="163">
        <f t="shared" si="9"/>
        <v>13214.687250735298</v>
      </c>
      <c r="H60" s="145">
        <f t="shared" si="10"/>
        <v>13214.687250735298</v>
      </c>
      <c r="I60" s="158">
        <f t="shared" si="12"/>
        <v>0</v>
      </c>
      <c r="J60" s="158"/>
      <c r="K60" s="316"/>
      <c r="L60" s="160">
        <f t="shared" si="13"/>
        <v>0</v>
      </c>
      <c r="M60" s="316"/>
      <c r="N60" s="160">
        <f t="shared" si="14"/>
        <v>0</v>
      </c>
      <c r="O60" s="160">
        <f t="shared" si="15"/>
        <v>0</v>
      </c>
      <c r="P60" s="4"/>
      <c r="R60" s="1"/>
      <c r="S60" s="1"/>
      <c r="T60" s="1"/>
      <c r="U60" s="1"/>
    </row>
    <row r="61" spans="2:21">
      <c r="B61" t="str">
        <f t="shared" si="6"/>
        <v/>
      </c>
      <c r="C61" s="155">
        <f>IF(D11="","-",+C60+1)</f>
        <v>2054</v>
      </c>
      <c r="D61" s="164">
        <f>IF(F60+SUM(E$17:E60)=D$10,F60,D$10-SUM(E$17:E60))</f>
        <v>0</v>
      </c>
      <c r="E61" s="162">
        <f>IF(+I14&lt;F60,I14,D61)</f>
        <v>0</v>
      </c>
      <c r="F61" s="161">
        <f t="shared" si="11"/>
        <v>0</v>
      </c>
      <c r="G61" s="163">
        <f t="shared" si="9"/>
        <v>0</v>
      </c>
      <c r="H61" s="145">
        <f t="shared" si="10"/>
        <v>0</v>
      </c>
      <c r="I61" s="158">
        <f t="shared" si="12"/>
        <v>0</v>
      </c>
      <c r="J61" s="158"/>
      <c r="K61" s="316"/>
      <c r="L61" s="160">
        <f t="shared" si="13"/>
        <v>0</v>
      </c>
      <c r="M61" s="316"/>
      <c r="N61" s="160">
        <f t="shared" si="14"/>
        <v>0</v>
      </c>
      <c r="O61" s="160">
        <f t="shared" si="15"/>
        <v>0</v>
      </c>
      <c r="P61" s="4"/>
      <c r="R61" s="1"/>
      <c r="S61" s="1"/>
      <c r="T61" s="1"/>
      <c r="U61" s="1"/>
    </row>
    <row r="62" spans="2:21">
      <c r="B62" t="str">
        <f t="shared" si="6"/>
        <v/>
      </c>
      <c r="C62" s="155">
        <f>IF(D11="","-",+C61+1)</f>
        <v>2055</v>
      </c>
      <c r="D62" s="164">
        <f>IF(F61+SUM(E$17:E61)=D$10,F61,D$10-SUM(E$17:E61))</f>
        <v>0</v>
      </c>
      <c r="E62" s="162">
        <f>IF(+I14&lt;F61,I14,D62)</f>
        <v>0</v>
      </c>
      <c r="F62" s="161">
        <f t="shared" si="11"/>
        <v>0</v>
      </c>
      <c r="G62" s="165">
        <f t="shared" si="9"/>
        <v>0</v>
      </c>
      <c r="H62" s="145">
        <f t="shared" si="10"/>
        <v>0</v>
      </c>
      <c r="I62" s="158">
        <f t="shared" si="12"/>
        <v>0</v>
      </c>
      <c r="J62" s="158"/>
      <c r="K62" s="316"/>
      <c r="L62" s="160">
        <f t="shared" si="13"/>
        <v>0</v>
      </c>
      <c r="M62" s="316"/>
      <c r="N62" s="160">
        <f t="shared" si="14"/>
        <v>0</v>
      </c>
      <c r="O62" s="160">
        <f t="shared" si="15"/>
        <v>0</v>
      </c>
      <c r="P62" s="4"/>
      <c r="R62" s="1"/>
      <c r="S62" s="1"/>
      <c r="T62" s="1"/>
      <c r="U62" s="1"/>
    </row>
    <row r="63" spans="2:21">
      <c r="B63" t="str">
        <f t="shared" si="6"/>
        <v/>
      </c>
      <c r="C63" s="155">
        <f>IF(D11="","-",+C62+1)</f>
        <v>2056</v>
      </c>
      <c r="D63" s="164">
        <f>IF(F62+SUM(E$17:E62)=D$10,F62,D$10-SUM(E$17:E62))</f>
        <v>0</v>
      </c>
      <c r="E63" s="162">
        <f>IF(+I14&lt;F62,I14,D63)</f>
        <v>0</v>
      </c>
      <c r="F63" s="161">
        <f t="shared" si="11"/>
        <v>0</v>
      </c>
      <c r="G63" s="165">
        <f t="shared" si="9"/>
        <v>0</v>
      </c>
      <c r="H63" s="145">
        <f t="shared" si="10"/>
        <v>0</v>
      </c>
      <c r="I63" s="158">
        <f t="shared" si="12"/>
        <v>0</v>
      </c>
      <c r="J63" s="158"/>
      <c r="K63" s="316"/>
      <c r="L63" s="160">
        <f t="shared" si="13"/>
        <v>0</v>
      </c>
      <c r="M63" s="316"/>
      <c r="N63" s="160">
        <f t="shared" si="14"/>
        <v>0</v>
      </c>
      <c r="O63" s="160">
        <f t="shared" si="15"/>
        <v>0</v>
      </c>
      <c r="P63" s="4"/>
      <c r="R63" s="1"/>
      <c r="S63" s="1"/>
      <c r="T63" s="1"/>
      <c r="U63" s="1"/>
    </row>
    <row r="64" spans="2:21">
      <c r="B64" t="str">
        <f t="shared" si="6"/>
        <v/>
      </c>
      <c r="C64" s="155">
        <f>IF(D11="","-",+C63+1)</f>
        <v>2057</v>
      </c>
      <c r="D64" s="164">
        <f>IF(F63+SUM(E$17:E63)=D$10,F63,D$10-SUM(E$17:E63))</f>
        <v>0</v>
      </c>
      <c r="E64" s="162">
        <f>IF(+I14&lt;F63,I14,D64)</f>
        <v>0</v>
      </c>
      <c r="F64" s="161">
        <f t="shared" si="11"/>
        <v>0</v>
      </c>
      <c r="G64" s="165">
        <f t="shared" si="9"/>
        <v>0</v>
      </c>
      <c r="H64" s="145">
        <f t="shared" si="10"/>
        <v>0</v>
      </c>
      <c r="I64" s="158">
        <f t="shared" si="12"/>
        <v>0</v>
      </c>
      <c r="J64" s="158"/>
      <c r="K64" s="316"/>
      <c r="L64" s="160">
        <f t="shared" si="13"/>
        <v>0</v>
      </c>
      <c r="M64" s="316"/>
      <c r="N64" s="160">
        <f t="shared" si="14"/>
        <v>0</v>
      </c>
      <c r="O64" s="160">
        <f t="shared" si="15"/>
        <v>0</v>
      </c>
      <c r="P64" s="4"/>
      <c r="R64" s="1"/>
      <c r="S64" s="1"/>
      <c r="T64" s="1"/>
      <c r="U64" s="1"/>
    </row>
    <row r="65" spans="1:21">
      <c r="B65" t="str">
        <f t="shared" si="6"/>
        <v/>
      </c>
      <c r="C65" s="155">
        <f>IF(D11="","-",+C64+1)</f>
        <v>2058</v>
      </c>
      <c r="D65" s="164">
        <f>IF(F64+SUM(E$17:E64)=D$10,F64,D$10-SUM(E$17:E64))</f>
        <v>0</v>
      </c>
      <c r="E65" s="162">
        <f>IF(+I14&lt;F64,I14,D65)</f>
        <v>0</v>
      </c>
      <c r="F65" s="161">
        <f t="shared" si="11"/>
        <v>0</v>
      </c>
      <c r="G65" s="165">
        <f t="shared" si="9"/>
        <v>0</v>
      </c>
      <c r="H65" s="145">
        <f t="shared" si="10"/>
        <v>0</v>
      </c>
      <c r="I65" s="158">
        <f t="shared" si="12"/>
        <v>0</v>
      </c>
      <c r="J65" s="158"/>
      <c r="K65" s="316"/>
      <c r="L65" s="160">
        <f t="shared" si="13"/>
        <v>0</v>
      </c>
      <c r="M65" s="316"/>
      <c r="N65" s="160">
        <f t="shared" si="14"/>
        <v>0</v>
      </c>
      <c r="O65" s="160">
        <f t="shared" si="15"/>
        <v>0</v>
      </c>
      <c r="P65" s="4"/>
      <c r="R65" s="1"/>
      <c r="S65" s="1"/>
      <c r="T65" s="1"/>
      <c r="U65" s="1"/>
    </row>
    <row r="66" spans="1:21">
      <c r="B66" t="str">
        <f t="shared" si="6"/>
        <v/>
      </c>
      <c r="C66" s="155">
        <f>IF(D11="","-",+C65+1)</f>
        <v>2059</v>
      </c>
      <c r="D66" s="164">
        <f>IF(F65+SUM(E$17:E65)=D$10,F65,D$10-SUM(E$17:E65))</f>
        <v>0</v>
      </c>
      <c r="E66" s="162">
        <f>IF(+I14&lt;F65,I14,D66)</f>
        <v>0</v>
      </c>
      <c r="F66" s="161">
        <f t="shared" si="11"/>
        <v>0</v>
      </c>
      <c r="G66" s="165">
        <f t="shared" si="9"/>
        <v>0</v>
      </c>
      <c r="H66" s="145">
        <f t="shared" si="10"/>
        <v>0</v>
      </c>
      <c r="I66" s="158">
        <f t="shared" si="12"/>
        <v>0</v>
      </c>
      <c r="J66" s="158"/>
      <c r="K66" s="316"/>
      <c r="L66" s="160">
        <f t="shared" si="13"/>
        <v>0</v>
      </c>
      <c r="M66" s="316"/>
      <c r="N66" s="160">
        <f t="shared" si="14"/>
        <v>0</v>
      </c>
      <c r="O66" s="160">
        <f t="shared" si="15"/>
        <v>0</v>
      </c>
      <c r="P66" s="4"/>
      <c r="R66" s="1"/>
      <c r="S66" s="1"/>
      <c r="T66" s="1"/>
      <c r="U66" s="1"/>
    </row>
    <row r="67" spans="1:21">
      <c r="B67" t="str">
        <f t="shared" si="6"/>
        <v/>
      </c>
      <c r="C67" s="155">
        <f>IF(D11="","-",+C66+1)</f>
        <v>2060</v>
      </c>
      <c r="D67" s="164">
        <f>IF(F66+SUM(E$17:E66)=D$10,F66,D$10-SUM(E$17:E66))</f>
        <v>0</v>
      </c>
      <c r="E67" s="162">
        <f>IF(+I14&lt;F66,I14,D67)</f>
        <v>0</v>
      </c>
      <c r="F67" s="161">
        <f t="shared" si="11"/>
        <v>0</v>
      </c>
      <c r="G67" s="165">
        <f t="shared" si="9"/>
        <v>0</v>
      </c>
      <c r="H67" s="145">
        <f t="shared" si="10"/>
        <v>0</v>
      </c>
      <c r="I67" s="158">
        <f t="shared" si="12"/>
        <v>0</v>
      </c>
      <c r="J67" s="158"/>
      <c r="K67" s="316"/>
      <c r="L67" s="160">
        <f t="shared" si="13"/>
        <v>0</v>
      </c>
      <c r="M67" s="316"/>
      <c r="N67" s="160">
        <f t="shared" si="14"/>
        <v>0</v>
      </c>
      <c r="O67" s="160">
        <f t="shared" si="15"/>
        <v>0</v>
      </c>
      <c r="P67" s="4"/>
      <c r="R67" s="1"/>
      <c r="S67" s="1"/>
      <c r="T67" s="1"/>
      <c r="U67" s="1"/>
    </row>
    <row r="68" spans="1:21">
      <c r="B68" t="str">
        <f t="shared" si="6"/>
        <v/>
      </c>
      <c r="C68" s="155">
        <f>IF(D11="","-",+C67+1)</f>
        <v>2061</v>
      </c>
      <c r="D68" s="164">
        <f>IF(F67+SUM(E$17:E67)=D$10,F67,D$10-SUM(E$17:E67))</f>
        <v>0</v>
      </c>
      <c r="E68" s="162">
        <f>IF(+I14&lt;F67,I14,D68)</f>
        <v>0</v>
      </c>
      <c r="F68" s="161">
        <f t="shared" si="11"/>
        <v>0</v>
      </c>
      <c r="G68" s="165">
        <f t="shared" si="9"/>
        <v>0</v>
      </c>
      <c r="H68" s="145">
        <f t="shared" si="10"/>
        <v>0</v>
      </c>
      <c r="I68" s="158">
        <f t="shared" si="12"/>
        <v>0</v>
      </c>
      <c r="J68" s="158"/>
      <c r="K68" s="316"/>
      <c r="L68" s="160">
        <f t="shared" si="13"/>
        <v>0</v>
      </c>
      <c r="M68" s="316"/>
      <c r="N68" s="160">
        <f t="shared" si="14"/>
        <v>0</v>
      </c>
      <c r="O68" s="160">
        <f t="shared" si="15"/>
        <v>0</v>
      </c>
      <c r="P68" s="4"/>
      <c r="R68" s="1"/>
      <c r="S68" s="1"/>
      <c r="T68" s="1"/>
      <c r="U68" s="1"/>
    </row>
    <row r="69" spans="1:21">
      <c r="B69" t="str">
        <f t="shared" si="6"/>
        <v/>
      </c>
      <c r="C69" s="155">
        <f>IF(D11="","-",+C68+1)</f>
        <v>2062</v>
      </c>
      <c r="D69" s="164">
        <f>IF(F68+SUM(E$17:E68)=D$10,F68,D$10-SUM(E$17:E68))</f>
        <v>0</v>
      </c>
      <c r="E69" s="162">
        <f>IF(+I14&lt;F68,I14,D69)</f>
        <v>0</v>
      </c>
      <c r="F69" s="161">
        <f t="shared" si="11"/>
        <v>0</v>
      </c>
      <c r="G69" s="165">
        <f t="shared" si="9"/>
        <v>0</v>
      </c>
      <c r="H69" s="145">
        <f t="shared" si="10"/>
        <v>0</v>
      </c>
      <c r="I69" s="158">
        <f t="shared" si="12"/>
        <v>0</v>
      </c>
      <c r="J69" s="158"/>
      <c r="K69" s="316"/>
      <c r="L69" s="160">
        <f t="shared" si="13"/>
        <v>0</v>
      </c>
      <c r="M69" s="316"/>
      <c r="N69" s="160">
        <f t="shared" si="14"/>
        <v>0</v>
      </c>
      <c r="O69" s="160">
        <f t="shared" si="15"/>
        <v>0</v>
      </c>
      <c r="P69" s="4"/>
      <c r="R69" s="1"/>
      <c r="S69" s="1"/>
      <c r="T69" s="1"/>
      <c r="U69" s="1"/>
    </row>
    <row r="70" spans="1:21">
      <c r="B70" t="str">
        <f t="shared" si="6"/>
        <v/>
      </c>
      <c r="C70" s="155">
        <f>IF(D11="","-",+C69+1)</f>
        <v>2063</v>
      </c>
      <c r="D70" s="164">
        <f>IF(F69+SUM(E$17:E69)=D$10,F69,D$10-SUM(E$17:E69))</f>
        <v>0</v>
      </c>
      <c r="E70" s="162">
        <f>IF(+I14&lt;F69,I14,D70)</f>
        <v>0</v>
      </c>
      <c r="F70" s="161">
        <f t="shared" si="11"/>
        <v>0</v>
      </c>
      <c r="G70" s="165">
        <f t="shared" si="9"/>
        <v>0</v>
      </c>
      <c r="H70" s="145">
        <f t="shared" si="10"/>
        <v>0</v>
      </c>
      <c r="I70" s="158">
        <f t="shared" si="12"/>
        <v>0</v>
      </c>
      <c r="J70" s="158"/>
      <c r="K70" s="316"/>
      <c r="L70" s="160">
        <f t="shared" si="13"/>
        <v>0</v>
      </c>
      <c r="M70" s="316"/>
      <c r="N70" s="160">
        <f t="shared" si="14"/>
        <v>0</v>
      </c>
      <c r="O70" s="160">
        <f t="shared" si="15"/>
        <v>0</v>
      </c>
      <c r="P70" s="4"/>
      <c r="R70" s="1"/>
      <c r="S70" s="1"/>
      <c r="T70" s="1"/>
      <c r="U70" s="1"/>
    </row>
    <row r="71" spans="1:21">
      <c r="B71" t="str">
        <f t="shared" si="6"/>
        <v/>
      </c>
      <c r="C71" s="155">
        <f>IF(D11="","-",+C70+1)</f>
        <v>2064</v>
      </c>
      <c r="D71" s="164">
        <f>IF(F70+SUM(E$17:E70)=D$10,F70,D$10-SUM(E$17:E70))</f>
        <v>0</v>
      </c>
      <c r="E71" s="162">
        <f>IF(+I14&lt;F70,I14,D71)</f>
        <v>0</v>
      </c>
      <c r="F71" s="161">
        <f t="shared" si="11"/>
        <v>0</v>
      </c>
      <c r="G71" s="165">
        <f t="shared" si="9"/>
        <v>0</v>
      </c>
      <c r="H71" s="145">
        <f t="shared" si="10"/>
        <v>0</v>
      </c>
      <c r="I71" s="158">
        <f t="shared" si="12"/>
        <v>0</v>
      </c>
      <c r="J71" s="158"/>
      <c r="K71" s="316"/>
      <c r="L71" s="160">
        <f t="shared" si="13"/>
        <v>0</v>
      </c>
      <c r="M71" s="316"/>
      <c r="N71" s="160">
        <f t="shared" si="14"/>
        <v>0</v>
      </c>
      <c r="O71" s="160">
        <f t="shared" si="15"/>
        <v>0</v>
      </c>
      <c r="P71" s="4"/>
      <c r="R71" s="1"/>
      <c r="S71" s="1"/>
      <c r="T71" s="1"/>
      <c r="U71" s="1"/>
    </row>
    <row r="72" spans="1:21">
      <c r="B72" t="str">
        <f t="shared" si="6"/>
        <v/>
      </c>
      <c r="C72" s="155">
        <f>IF(D11="","-",+C71+1)</f>
        <v>2065</v>
      </c>
      <c r="D72" s="164">
        <f>IF(F71+SUM(E$17:E71)=D$10,F71,D$10-SUM(E$17:E71))</f>
        <v>0</v>
      </c>
      <c r="E72" s="162">
        <f>IF(+I14&lt;F71,I14,D72)</f>
        <v>0</v>
      </c>
      <c r="F72" s="161">
        <f t="shared" si="11"/>
        <v>0</v>
      </c>
      <c r="G72" s="165">
        <f t="shared" si="9"/>
        <v>0</v>
      </c>
      <c r="H72" s="145">
        <f t="shared" si="10"/>
        <v>0</v>
      </c>
      <c r="I72" s="158">
        <f t="shared" si="12"/>
        <v>0</v>
      </c>
      <c r="J72" s="158"/>
      <c r="K72" s="316"/>
      <c r="L72" s="160">
        <f t="shared" si="13"/>
        <v>0</v>
      </c>
      <c r="M72" s="316"/>
      <c r="N72" s="160">
        <f t="shared" si="14"/>
        <v>0</v>
      </c>
      <c r="O72" s="160">
        <f t="shared" si="15"/>
        <v>0</v>
      </c>
      <c r="P72" s="4"/>
      <c r="R72" s="1"/>
      <c r="S72" s="1"/>
      <c r="T72" s="1"/>
      <c r="U72" s="1"/>
    </row>
    <row r="73" spans="1:21" ht="13.5" thickBot="1">
      <c r="B73" t="str">
        <f t="shared" si="6"/>
        <v/>
      </c>
      <c r="C73" s="166">
        <f>IF(D11="","-",+C72+1)</f>
        <v>2066</v>
      </c>
      <c r="D73" s="349">
        <f>IF(F72+SUM(E$17:E72)=D$10,F72,D$10-SUM(E$17:E72))</f>
        <v>0</v>
      </c>
      <c r="E73" s="168">
        <f>IF(+I14&lt;F72,I14,D73)</f>
        <v>0</v>
      </c>
      <c r="F73" s="167">
        <f t="shared" si="11"/>
        <v>0</v>
      </c>
      <c r="G73" s="169">
        <f t="shared" si="9"/>
        <v>0</v>
      </c>
      <c r="H73" s="127">
        <f t="shared" si="10"/>
        <v>0</v>
      </c>
      <c r="I73" s="170">
        <f t="shared" si="12"/>
        <v>0</v>
      </c>
      <c r="J73" s="158"/>
      <c r="K73" s="317"/>
      <c r="L73" s="171">
        <f t="shared" si="13"/>
        <v>0</v>
      </c>
      <c r="M73" s="317"/>
      <c r="N73" s="171">
        <f t="shared" si="14"/>
        <v>0</v>
      </c>
      <c r="O73" s="171">
        <f t="shared" si="15"/>
        <v>0</v>
      </c>
      <c r="P73" s="4"/>
      <c r="R73" s="1"/>
      <c r="S73" s="1"/>
      <c r="T73" s="1"/>
      <c r="U73" s="1"/>
    </row>
    <row r="74" spans="1:21">
      <c r="C74" s="156" t="s">
        <v>75</v>
      </c>
      <c r="D74" s="112"/>
      <c r="E74" s="112">
        <f>SUM(E17:E73)</f>
        <v>723818.00000000012</v>
      </c>
      <c r="F74" s="112"/>
      <c r="G74" s="112">
        <f>SUM(G17:G73)</f>
        <v>2676706.8323265817</v>
      </c>
      <c r="H74" s="112">
        <f>SUM(H17:H73)</f>
        <v>2676706.8323265817</v>
      </c>
      <c r="I74" s="112">
        <f>SUM(I17:I73)</f>
        <v>0</v>
      </c>
      <c r="J74" s="112"/>
      <c r="K74" s="112"/>
      <c r="L74" s="112"/>
      <c r="M74" s="112"/>
      <c r="N74" s="112"/>
      <c r="O74" s="4"/>
      <c r="P74" s="4"/>
      <c r="R74" s="1"/>
      <c r="S74" s="1"/>
      <c r="T74" s="1"/>
      <c r="U74" s="1"/>
    </row>
    <row r="75" spans="1:21">
      <c r="D75" s="2"/>
      <c r="E75" s="1"/>
      <c r="F75" s="1"/>
      <c r="G75" s="1"/>
      <c r="H75" s="3"/>
      <c r="I75" s="3"/>
      <c r="J75" s="112"/>
      <c r="K75" s="3"/>
      <c r="L75" s="3"/>
      <c r="M75" s="3"/>
      <c r="N75" s="3"/>
      <c r="O75" s="1"/>
      <c r="P75" s="1"/>
      <c r="R75" s="1"/>
      <c r="S75" s="1"/>
      <c r="T75" s="1"/>
      <c r="U75" s="1"/>
    </row>
    <row r="76" spans="1:21">
      <c r="C76" s="172" t="s">
        <v>95</v>
      </c>
      <c r="D76" s="2"/>
      <c r="E76" s="1"/>
      <c r="F76" s="1"/>
      <c r="G76" s="1"/>
      <c r="H76" s="3"/>
      <c r="I76" s="3"/>
      <c r="J76" s="112"/>
      <c r="K76" s="3"/>
      <c r="L76" s="3"/>
      <c r="M76" s="3"/>
      <c r="N76" s="3"/>
      <c r="O76" s="1"/>
      <c r="P76" s="1"/>
      <c r="R76" s="1"/>
      <c r="S76" s="1"/>
      <c r="T76" s="1"/>
      <c r="U76" s="1"/>
    </row>
    <row r="77" spans="1:21">
      <c r="C77" s="124" t="s">
        <v>76</v>
      </c>
      <c r="D77" s="2"/>
      <c r="E77" s="1"/>
      <c r="F77" s="1"/>
      <c r="G77" s="1"/>
      <c r="H77" s="3"/>
      <c r="I77" s="3"/>
      <c r="J77" s="112"/>
      <c r="K77" s="3"/>
      <c r="L77" s="3"/>
      <c r="M77" s="3"/>
      <c r="N77" s="3"/>
      <c r="O77" s="4"/>
      <c r="P77" s="4"/>
      <c r="R77" s="1"/>
      <c r="S77" s="1"/>
      <c r="T77" s="1"/>
      <c r="U77" s="1"/>
    </row>
    <row r="78" spans="1:21" ht="18">
      <c r="C78" s="124" t="s">
        <v>77</v>
      </c>
      <c r="D78" s="156"/>
      <c r="E78" s="156"/>
      <c r="F78" s="156"/>
      <c r="G78" s="112"/>
      <c r="H78" s="112"/>
      <c r="I78" s="173"/>
      <c r="J78" s="173"/>
      <c r="K78" s="173"/>
      <c r="L78" s="173"/>
      <c r="M78" s="173"/>
      <c r="N78" s="173"/>
      <c r="O78" s="111"/>
      <c r="P78" s="4"/>
      <c r="R78" s="1"/>
      <c r="S78" s="1"/>
      <c r="T78" s="1"/>
      <c r="U78" s="1"/>
    </row>
    <row r="79" spans="1:21">
      <c r="C79" s="124"/>
      <c r="D79" s="156"/>
      <c r="E79" s="156"/>
      <c r="F79" s="156"/>
      <c r="G79" s="112"/>
      <c r="H79" s="112"/>
      <c r="I79" s="173"/>
      <c r="J79" s="173"/>
      <c r="K79" s="173"/>
      <c r="L79" s="173"/>
      <c r="M79" s="173"/>
      <c r="N79" s="173"/>
      <c r="O79" s="4"/>
      <c r="P79" s="1"/>
      <c r="R79" s="1"/>
      <c r="S79" s="1"/>
      <c r="T79" s="1"/>
      <c r="U79" s="1"/>
    </row>
    <row r="80" spans="1:21" ht="15">
      <c r="A80" s="238"/>
      <c r="B80" s="1"/>
      <c r="C80" s="23"/>
      <c r="D80" s="2"/>
      <c r="E80" s="1"/>
      <c r="F80" s="108"/>
      <c r="G80" s="1"/>
      <c r="H80" s="3"/>
      <c r="I80" s="1"/>
      <c r="J80" s="4"/>
      <c r="K80" s="1"/>
      <c r="L80" s="1"/>
      <c r="M80" s="1"/>
      <c r="N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9"/>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1" t="str">
        <f ca="1">P1</f>
        <v>OKT Project 1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91171.767437218194</v>
      </c>
      <c r="N88" s="198">
        <f>IF(J93&lt;D11,0,VLOOKUP(J93,C17:O73,11))</f>
        <v>91171.767437218194</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85214.614900276356</v>
      </c>
      <c r="N89" s="200">
        <f>IF(J93&lt;D11,0,VLOOKUP(J93,C100:P155,7))</f>
        <v>85214.614900276356</v>
      </c>
      <c r="O89" s="201">
        <f>+N89-M89</f>
        <v>0</v>
      </c>
      <c r="P89" s="1"/>
      <c r="Q89" s="1"/>
      <c r="R89" s="1"/>
      <c r="S89" s="1"/>
      <c r="T89" s="1"/>
      <c r="U89" s="1"/>
    </row>
    <row r="90" spans="1:21" ht="13.5" thickBot="1">
      <c r="C90" s="124" t="s">
        <v>82</v>
      </c>
      <c r="D90" s="243" t="str">
        <f>+D7</f>
        <v>Snyder 138 kV Terminal Addition</v>
      </c>
      <c r="E90" s="1"/>
      <c r="F90" s="1"/>
      <c r="G90" s="1"/>
      <c r="H90" s="1"/>
      <c r="I90" s="3"/>
      <c r="J90" s="3"/>
      <c r="K90" s="256"/>
      <c r="L90" s="257" t="s">
        <v>135</v>
      </c>
      <c r="M90" s="203">
        <f>+M89-M88</f>
        <v>-5957.1525369418378</v>
      </c>
      <c r="N90" s="203">
        <f>+N89-N88</f>
        <v>-5957.1525369418378</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TP2009013</v>
      </c>
      <c r="E92" s="206"/>
      <c r="F92" s="206"/>
      <c r="G92" s="206"/>
      <c r="H92" s="206"/>
      <c r="I92" s="206"/>
      <c r="J92" s="235"/>
      <c r="K92" s="207"/>
      <c r="P92" s="134"/>
      <c r="Q92" s="1"/>
      <c r="R92" s="1"/>
      <c r="S92" s="1"/>
      <c r="T92" s="1"/>
      <c r="U92" s="1"/>
    </row>
    <row r="93" spans="1:21">
      <c r="C93" s="139" t="s">
        <v>49</v>
      </c>
      <c r="D93" s="136">
        <f>IF(D11=I10,0,D10)</f>
        <v>723818</v>
      </c>
      <c r="E93" s="23" t="s">
        <v>84</v>
      </c>
      <c r="H93" s="137"/>
      <c r="I93" s="137"/>
      <c r="J93" s="138">
        <f>+'OKT.WS.G.BPU.ATRR.True-up'!M16</f>
        <v>2018</v>
      </c>
      <c r="K93" s="133"/>
      <c r="L93" s="112" t="s">
        <v>85</v>
      </c>
      <c r="P93" s="4"/>
      <c r="Q93" s="1"/>
      <c r="R93" s="1"/>
      <c r="S93" s="1"/>
      <c r="T93" s="1"/>
      <c r="U93" s="1"/>
    </row>
    <row r="94" spans="1:21">
      <c r="C94" s="139" t="s">
        <v>52</v>
      </c>
      <c r="D94" s="218">
        <f>D11</f>
        <v>2010</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D12</f>
        <v>12</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f>+D14</f>
        <v>0</v>
      </c>
      <c r="E97" s="202" t="s">
        <v>62</v>
      </c>
      <c r="F97" s="208"/>
      <c r="G97" s="208"/>
      <c r="H97" s="209"/>
      <c r="I97" s="209"/>
      <c r="J97" s="127">
        <f>IF(D93=0,0,D93/D96)</f>
        <v>20106.055555555555</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319" t="s">
        <v>177</v>
      </c>
      <c r="M98" s="149" t="s">
        <v>89</v>
      </c>
      <c r="N98" s="319" t="s">
        <v>177</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IF(D100=F99,"","IU")</f>
        <v>IU</v>
      </c>
      <c r="C100" s="155">
        <f>IF(D94= "","-",D94)</f>
        <v>2010</v>
      </c>
      <c r="D100" s="373">
        <v>0</v>
      </c>
      <c r="E100" s="375">
        <v>0</v>
      </c>
      <c r="F100" s="377">
        <v>634790</v>
      </c>
      <c r="G100" s="378">
        <v>317395</v>
      </c>
      <c r="H100" s="378">
        <v>107896.39563165967</v>
      </c>
      <c r="I100" s="378">
        <v>107896.39563165967</v>
      </c>
      <c r="J100" s="160">
        <f t="shared" ref="J100:J131" si="16">+I100-H100</f>
        <v>0</v>
      </c>
      <c r="K100" s="160"/>
      <c r="L100" s="344">
        <f t="shared" ref="L100:L105" si="17">H100</f>
        <v>107896.39563165967</v>
      </c>
      <c r="M100" s="345">
        <f>IF(L100&lt;&gt;0,+H100-L100,0)</f>
        <v>0</v>
      </c>
      <c r="N100" s="344">
        <f t="shared" ref="N100:N105" si="18">I100</f>
        <v>107896.39563165967</v>
      </c>
      <c r="O100" s="159">
        <f t="shared" ref="O100:O131" si="19">IF(N100&lt;&gt;0,+I100-N100,0)</f>
        <v>0</v>
      </c>
      <c r="P100" s="159">
        <f t="shared" ref="P100:P131" si="20">+O100-M100</f>
        <v>0</v>
      </c>
      <c r="Q100" s="1"/>
      <c r="R100" s="1"/>
      <c r="S100" s="1"/>
      <c r="T100" s="1"/>
      <c r="U100" s="1"/>
    </row>
    <row r="101" spans="1:21">
      <c r="B101" t="str">
        <f t="shared" ref="B101:B155" si="21">IF(D101=F100,"","IU")</f>
        <v/>
      </c>
      <c r="C101" s="155">
        <f>IF(D94="","-",+C100+1)</f>
        <v>2011</v>
      </c>
      <c r="D101" s="373">
        <v>634790</v>
      </c>
      <c r="E101" s="375">
        <v>12180.958103448274</v>
      </c>
      <c r="F101" s="377">
        <v>622609.04189655173</v>
      </c>
      <c r="G101" s="377">
        <v>628699.52094827592</v>
      </c>
      <c r="H101" s="375">
        <v>58926.291922257748</v>
      </c>
      <c r="I101" s="376">
        <v>58926.291922257748</v>
      </c>
      <c r="J101" s="160">
        <v>0</v>
      </c>
      <c r="K101" s="160"/>
      <c r="L101" s="344">
        <f t="shared" si="17"/>
        <v>58926.291922257748</v>
      </c>
      <c r="M101" s="160">
        <f t="shared" ref="M101:M131" si="22">IF(L101&lt;&gt;0,+H101-L101,0)</f>
        <v>0</v>
      </c>
      <c r="N101" s="344">
        <f t="shared" si="18"/>
        <v>58926.291922257748</v>
      </c>
      <c r="O101" s="160">
        <f t="shared" si="19"/>
        <v>0</v>
      </c>
      <c r="P101" s="160">
        <f t="shared" si="20"/>
        <v>0</v>
      </c>
      <c r="Q101" s="1"/>
      <c r="R101" s="1"/>
      <c r="S101" s="1"/>
      <c r="T101" s="1"/>
      <c r="U101" s="1"/>
    </row>
    <row r="102" spans="1:21">
      <c r="B102" t="str">
        <f t="shared" si="21"/>
        <v>IU</v>
      </c>
      <c r="C102" s="155">
        <f>IF(D94="","-",+C101+1)</f>
        <v>2012</v>
      </c>
      <c r="D102" s="373">
        <v>711637.04189655173</v>
      </c>
      <c r="E102" s="375">
        <v>12479.620689655172</v>
      </c>
      <c r="F102" s="377">
        <v>699157.42120689654</v>
      </c>
      <c r="G102" s="377">
        <v>705397.23155172414</v>
      </c>
      <c r="H102" s="375">
        <v>83971.238209738236</v>
      </c>
      <c r="I102" s="376">
        <v>83971.238209738236</v>
      </c>
      <c r="J102" s="160">
        <v>0</v>
      </c>
      <c r="K102" s="160"/>
      <c r="L102" s="344">
        <f t="shared" si="17"/>
        <v>83971.238209738236</v>
      </c>
      <c r="M102" s="160">
        <f t="shared" ref="M102:M107" si="23">IF(L102&lt;&gt;0,+H102-L102,0)</f>
        <v>0</v>
      </c>
      <c r="N102" s="344">
        <f t="shared" si="18"/>
        <v>83971.238209738236</v>
      </c>
      <c r="O102" s="160">
        <f>IF(N102&lt;&gt;0,+I102-N102,0)</f>
        <v>0</v>
      </c>
      <c r="P102" s="160">
        <f>+O102-M102</f>
        <v>0</v>
      </c>
      <c r="Q102" s="1"/>
      <c r="R102" s="1"/>
      <c r="S102" s="1"/>
      <c r="T102" s="1"/>
      <c r="U102" s="1"/>
    </row>
    <row r="103" spans="1:21">
      <c r="B103" t="str">
        <f t="shared" si="21"/>
        <v/>
      </c>
      <c r="C103" s="155">
        <f>IF(D94="","-",+C102+1)</f>
        <v>2013</v>
      </c>
      <c r="D103" s="373">
        <v>699157.42120689654</v>
      </c>
      <c r="E103" s="375">
        <v>12479.620689655172</v>
      </c>
      <c r="F103" s="377">
        <v>686677.80051724135</v>
      </c>
      <c r="G103" s="377">
        <v>692917.61086206895</v>
      </c>
      <c r="H103" s="375">
        <v>91236.605288625666</v>
      </c>
      <c r="I103" s="376">
        <v>91236.605288625666</v>
      </c>
      <c r="J103" s="160">
        <v>0</v>
      </c>
      <c r="K103" s="160"/>
      <c r="L103" s="344">
        <f t="shared" si="17"/>
        <v>91236.605288625666</v>
      </c>
      <c r="M103" s="160">
        <f t="shared" si="23"/>
        <v>0</v>
      </c>
      <c r="N103" s="344">
        <f t="shared" si="18"/>
        <v>91236.605288625666</v>
      </c>
      <c r="O103" s="160">
        <f>IF(N103&lt;&gt;0,+I103-N103,0)</f>
        <v>0</v>
      </c>
      <c r="P103" s="160">
        <f>+O103-M103</f>
        <v>0</v>
      </c>
      <c r="Q103" s="1"/>
      <c r="R103" s="1"/>
      <c r="S103" s="1"/>
      <c r="T103" s="1"/>
      <c r="U103" s="1"/>
    </row>
    <row r="104" spans="1:21">
      <c r="B104" t="str">
        <f t="shared" si="21"/>
        <v/>
      </c>
      <c r="C104" s="155">
        <f>IF(D94="","-",+C103+1)</f>
        <v>2014</v>
      </c>
      <c r="D104" s="373">
        <v>686677.80051724135</v>
      </c>
      <c r="E104" s="375">
        <v>12479.620689655172</v>
      </c>
      <c r="F104" s="377">
        <v>674198.17982758617</v>
      </c>
      <c r="G104" s="377">
        <v>680437.99017241376</v>
      </c>
      <c r="H104" s="375">
        <v>85656.254524456934</v>
      </c>
      <c r="I104" s="376">
        <v>85656.254524456934</v>
      </c>
      <c r="J104" s="160">
        <v>0</v>
      </c>
      <c r="K104" s="160"/>
      <c r="L104" s="344">
        <f t="shared" si="17"/>
        <v>85656.254524456934</v>
      </c>
      <c r="M104" s="160">
        <f t="shared" si="23"/>
        <v>0</v>
      </c>
      <c r="N104" s="344">
        <f t="shared" si="18"/>
        <v>85656.254524456934</v>
      </c>
      <c r="O104" s="160">
        <f>IF(N104&lt;&gt;0,+I104-N104,0)</f>
        <v>0</v>
      </c>
      <c r="P104" s="160">
        <f>+O104-M104</f>
        <v>0</v>
      </c>
      <c r="Q104" s="1"/>
      <c r="R104" s="1"/>
      <c r="S104" s="1"/>
      <c r="T104" s="1"/>
      <c r="U104" s="1"/>
    </row>
    <row r="105" spans="1:21">
      <c r="B105" t="str">
        <f t="shared" si="21"/>
        <v/>
      </c>
      <c r="C105" s="155">
        <f>IF(D94="","-",+C104+1)</f>
        <v>2015</v>
      </c>
      <c r="D105" s="373">
        <v>674198.17982758617</v>
      </c>
      <c r="E105" s="375">
        <v>15079.541666666666</v>
      </c>
      <c r="F105" s="377">
        <v>659118.63816091954</v>
      </c>
      <c r="G105" s="377">
        <v>666658.40899425279</v>
      </c>
      <c r="H105" s="375">
        <v>89298.24140660846</v>
      </c>
      <c r="I105" s="376">
        <v>89298.24140660846</v>
      </c>
      <c r="J105" s="160">
        <f t="shared" si="16"/>
        <v>0</v>
      </c>
      <c r="K105" s="160"/>
      <c r="L105" s="344">
        <f t="shared" si="17"/>
        <v>89298.24140660846</v>
      </c>
      <c r="M105" s="160">
        <f t="shared" si="23"/>
        <v>0</v>
      </c>
      <c r="N105" s="344">
        <f t="shared" si="18"/>
        <v>89298.24140660846</v>
      </c>
      <c r="O105" s="160">
        <f t="shared" si="19"/>
        <v>0</v>
      </c>
      <c r="P105" s="160">
        <f t="shared" si="20"/>
        <v>0</v>
      </c>
      <c r="Q105" s="1"/>
      <c r="R105" s="1"/>
      <c r="S105" s="1"/>
      <c r="T105" s="1"/>
      <c r="U105" s="1"/>
    </row>
    <row r="106" spans="1:21">
      <c r="B106" t="str">
        <f t="shared" si="21"/>
        <v/>
      </c>
      <c r="C106" s="155">
        <f>IF(D94="","-",+C105+1)</f>
        <v>2016</v>
      </c>
      <c r="D106" s="373">
        <v>659118.63816091954</v>
      </c>
      <c r="E106" s="375">
        <v>14192.509803921568</v>
      </c>
      <c r="F106" s="377">
        <v>644926.12835699797</v>
      </c>
      <c r="G106" s="377">
        <v>652022.38325895881</v>
      </c>
      <c r="H106" s="375">
        <v>84851.823004071382</v>
      </c>
      <c r="I106" s="376">
        <v>84851.823004071382</v>
      </c>
      <c r="J106" s="160">
        <f t="shared" si="16"/>
        <v>0</v>
      </c>
      <c r="K106" s="160"/>
      <c r="L106" s="344">
        <f>H106</f>
        <v>84851.823004071382</v>
      </c>
      <c r="M106" s="160">
        <f t="shared" si="23"/>
        <v>0</v>
      </c>
      <c r="N106" s="344">
        <f>I106</f>
        <v>84851.823004071382</v>
      </c>
      <c r="O106" s="160">
        <f>IF(N106&lt;&gt;0,+I106-N106,0)</f>
        <v>0</v>
      </c>
      <c r="P106" s="160">
        <f>+O106-M106</f>
        <v>0</v>
      </c>
      <c r="Q106" s="1"/>
      <c r="R106" s="1"/>
      <c r="S106" s="1"/>
      <c r="T106" s="1"/>
      <c r="U106" s="1"/>
    </row>
    <row r="107" spans="1:21">
      <c r="B107" t="str">
        <f t="shared" si="21"/>
        <v/>
      </c>
      <c r="C107" s="155">
        <f>IF(D94="","-",+C106+1)</f>
        <v>2017</v>
      </c>
      <c r="D107" s="373">
        <v>644926.12835699797</v>
      </c>
      <c r="E107" s="375">
        <v>18095.45</v>
      </c>
      <c r="F107" s="377">
        <v>626830.67835699802</v>
      </c>
      <c r="G107" s="377">
        <v>635878.40335699799</v>
      </c>
      <c r="H107" s="375">
        <v>92706.791991345061</v>
      </c>
      <c r="I107" s="376">
        <v>92706.791991345061</v>
      </c>
      <c r="J107" s="160">
        <f t="shared" si="16"/>
        <v>0</v>
      </c>
      <c r="K107" s="160"/>
      <c r="L107" s="344">
        <f>H107</f>
        <v>92706.791991345061</v>
      </c>
      <c r="M107" s="160">
        <f t="shared" si="23"/>
        <v>0</v>
      </c>
      <c r="N107" s="344">
        <f>I107</f>
        <v>92706.791991345061</v>
      </c>
      <c r="O107" s="160">
        <f>IF(N107&lt;&gt;0,+I107-N107,0)</f>
        <v>0</v>
      </c>
      <c r="P107" s="160">
        <f>+O107-M107</f>
        <v>0</v>
      </c>
      <c r="Q107" s="1"/>
      <c r="R107" s="1"/>
      <c r="S107" s="1"/>
      <c r="T107" s="1"/>
      <c r="U107" s="1"/>
    </row>
    <row r="108" spans="1:21">
      <c r="B108" t="str">
        <f t="shared" si="21"/>
        <v/>
      </c>
      <c r="C108" s="155">
        <f>IF(D94="","-",+C107+1)</f>
        <v>2018</v>
      </c>
      <c r="D108" s="156">
        <f>IF(F107+SUM(E$100:E107)=D$93,F107,D$93-SUM(E$100:E107))</f>
        <v>626830.67835699802</v>
      </c>
      <c r="E108" s="162">
        <f>IF(+J97&lt;F107,J97,D108)</f>
        <v>20106.055555555555</v>
      </c>
      <c r="F108" s="161">
        <f t="shared" ref="F108:F131" si="24">+D108-E108</f>
        <v>606724.62280144251</v>
      </c>
      <c r="G108" s="161">
        <f t="shared" ref="G108:G131" si="25">+(F108+D108)/2</f>
        <v>616777.65057922027</v>
      </c>
      <c r="H108" s="165">
        <f t="shared" ref="H108:H132" si="26">+J$95*G108+E108</f>
        <v>85214.614900276356</v>
      </c>
      <c r="I108" s="299">
        <f t="shared" ref="I108:I132" si="27">+J$96*G108+E108</f>
        <v>85214.614900276356</v>
      </c>
      <c r="J108" s="160">
        <f t="shared" si="16"/>
        <v>0</v>
      </c>
      <c r="K108" s="160"/>
      <c r="L108" s="316"/>
      <c r="M108" s="160">
        <f t="shared" si="22"/>
        <v>0</v>
      </c>
      <c r="N108" s="316"/>
      <c r="O108" s="160">
        <f t="shared" si="19"/>
        <v>0</v>
      </c>
      <c r="P108" s="160">
        <f t="shared" si="20"/>
        <v>0</v>
      </c>
      <c r="Q108" s="1"/>
      <c r="R108" s="1"/>
      <c r="S108" s="1"/>
      <c r="T108" s="1"/>
      <c r="U108" s="1"/>
    </row>
    <row r="109" spans="1:21">
      <c r="B109" t="str">
        <f t="shared" si="21"/>
        <v/>
      </c>
      <c r="C109" s="155">
        <f>IF(D94="","-",+C108+1)</f>
        <v>2019</v>
      </c>
      <c r="D109" s="156">
        <f>IF(F108+SUM(E$100:E108)=D$93,F108,D$93-SUM(E$100:E108))</f>
        <v>606724.62280144251</v>
      </c>
      <c r="E109" s="162">
        <f>IF(+J97&lt;F108,J97,D109)</f>
        <v>20106.055555555555</v>
      </c>
      <c r="F109" s="161">
        <f t="shared" si="24"/>
        <v>586618.56724588701</v>
      </c>
      <c r="G109" s="161">
        <f t="shared" si="25"/>
        <v>596671.59502366476</v>
      </c>
      <c r="H109" s="165">
        <f t="shared" si="26"/>
        <v>83092.170434109707</v>
      </c>
      <c r="I109" s="299">
        <f t="shared" si="27"/>
        <v>83092.170434109707</v>
      </c>
      <c r="J109" s="160">
        <f t="shared" si="16"/>
        <v>0</v>
      </c>
      <c r="K109" s="160"/>
      <c r="L109" s="316"/>
      <c r="M109" s="160">
        <f t="shared" si="22"/>
        <v>0</v>
      </c>
      <c r="N109" s="316"/>
      <c r="O109" s="160">
        <f t="shared" si="19"/>
        <v>0</v>
      </c>
      <c r="P109" s="160">
        <f t="shared" si="20"/>
        <v>0</v>
      </c>
      <c r="Q109" s="1"/>
      <c r="R109" s="1"/>
      <c r="S109" s="1"/>
      <c r="T109" s="1"/>
      <c r="U109" s="1"/>
    </row>
    <row r="110" spans="1:21">
      <c r="B110" t="str">
        <f t="shared" si="21"/>
        <v/>
      </c>
      <c r="C110" s="155">
        <f>IF(D94="","-",+C109+1)</f>
        <v>2020</v>
      </c>
      <c r="D110" s="156">
        <f>IF(F109+SUM(E$100:E109)=D$93,F109,D$93-SUM(E$100:E109))</f>
        <v>586618.56724588701</v>
      </c>
      <c r="E110" s="162">
        <f>IF(+J97&lt;F109,J97,D110)</f>
        <v>20106.055555555555</v>
      </c>
      <c r="F110" s="161">
        <f t="shared" si="24"/>
        <v>566512.51169033151</v>
      </c>
      <c r="G110" s="161">
        <f t="shared" si="25"/>
        <v>576565.53946810926</v>
      </c>
      <c r="H110" s="165">
        <f t="shared" si="26"/>
        <v>80969.725967943043</v>
      </c>
      <c r="I110" s="299">
        <f t="shared" si="27"/>
        <v>80969.725967943043</v>
      </c>
      <c r="J110" s="160">
        <f t="shared" si="16"/>
        <v>0</v>
      </c>
      <c r="K110" s="160"/>
      <c r="L110" s="316"/>
      <c r="M110" s="160">
        <f t="shared" si="22"/>
        <v>0</v>
      </c>
      <c r="N110" s="316"/>
      <c r="O110" s="160">
        <f t="shared" si="19"/>
        <v>0</v>
      </c>
      <c r="P110" s="160">
        <f t="shared" si="20"/>
        <v>0</v>
      </c>
      <c r="Q110" s="1"/>
      <c r="R110" s="1"/>
      <c r="S110" s="1"/>
      <c r="T110" s="1"/>
      <c r="U110" s="1"/>
    </row>
    <row r="111" spans="1:21">
      <c r="B111" t="str">
        <f t="shared" si="21"/>
        <v/>
      </c>
      <c r="C111" s="155">
        <f>IF(D94="","-",+C110+1)</f>
        <v>2021</v>
      </c>
      <c r="D111" s="156">
        <f>IF(F110+SUM(E$100:E110)=D$93,F110,D$93-SUM(E$100:E110))</f>
        <v>566512.51169033151</v>
      </c>
      <c r="E111" s="162">
        <f>IF(+J97&lt;F110,J97,D111)</f>
        <v>20106.055555555555</v>
      </c>
      <c r="F111" s="161">
        <f t="shared" si="24"/>
        <v>546406.456134776</v>
      </c>
      <c r="G111" s="161">
        <f t="shared" si="25"/>
        <v>556459.48391255375</v>
      </c>
      <c r="H111" s="165">
        <f t="shared" si="26"/>
        <v>78847.281501776393</v>
      </c>
      <c r="I111" s="299">
        <f t="shared" si="27"/>
        <v>78847.281501776393</v>
      </c>
      <c r="J111" s="160">
        <f t="shared" si="16"/>
        <v>0</v>
      </c>
      <c r="K111" s="160"/>
      <c r="L111" s="316"/>
      <c r="M111" s="160">
        <f t="shared" si="22"/>
        <v>0</v>
      </c>
      <c r="N111" s="316"/>
      <c r="O111" s="160">
        <f t="shared" si="19"/>
        <v>0</v>
      </c>
      <c r="P111" s="160">
        <f t="shared" si="20"/>
        <v>0</v>
      </c>
      <c r="Q111" s="1"/>
      <c r="R111" s="1"/>
      <c r="S111" s="1"/>
      <c r="T111" s="1"/>
      <c r="U111" s="1"/>
    </row>
    <row r="112" spans="1:21">
      <c r="B112" t="str">
        <f t="shared" si="21"/>
        <v/>
      </c>
      <c r="C112" s="155">
        <f>IF(D94="","-",+C111+1)</f>
        <v>2022</v>
      </c>
      <c r="D112" s="156">
        <f>IF(F111+SUM(E$100:E111)=D$93,F111,D$93-SUM(E$100:E111))</f>
        <v>546406.456134776</v>
      </c>
      <c r="E112" s="162">
        <f>IF(+J97&lt;F111,J97,D112)</f>
        <v>20106.055555555555</v>
      </c>
      <c r="F112" s="161">
        <f t="shared" si="24"/>
        <v>526300.4005792205</v>
      </c>
      <c r="G112" s="161">
        <f t="shared" si="25"/>
        <v>536353.42835699825</v>
      </c>
      <c r="H112" s="165">
        <f t="shared" si="26"/>
        <v>76724.837035609729</v>
      </c>
      <c r="I112" s="299">
        <f t="shared" si="27"/>
        <v>76724.837035609729</v>
      </c>
      <c r="J112" s="160">
        <f t="shared" si="16"/>
        <v>0</v>
      </c>
      <c r="K112" s="160"/>
      <c r="L112" s="316"/>
      <c r="M112" s="160">
        <f t="shared" si="22"/>
        <v>0</v>
      </c>
      <c r="N112" s="316"/>
      <c r="O112" s="160">
        <f t="shared" si="19"/>
        <v>0</v>
      </c>
      <c r="P112" s="160">
        <f t="shared" si="20"/>
        <v>0</v>
      </c>
      <c r="Q112" s="1"/>
      <c r="R112" s="1"/>
      <c r="S112" s="1"/>
      <c r="T112" s="1"/>
      <c r="U112" s="1"/>
    </row>
    <row r="113" spans="2:21">
      <c r="B113" t="str">
        <f t="shared" si="21"/>
        <v/>
      </c>
      <c r="C113" s="155">
        <f>IF(D94="","-",+C112+1)</f>
        <v>2023</v>
      </c>
      <c r="D113" s="156">
        <f>IF(F112+SUM(E$100:E112)=D$93,F112,D$93-SUM(E$100:E112))</f>
        <v>526300.4005792205</v>
      </c>
      <c r="E113" s="162">
        <f>IF(+J97&lt;F112,J97,D113)</f>
        <v>20106.055555555555</v>
      </c>
      <c r="F113" s="161">
        <f t="shared" si="24"/>
        <v>506194.34502366494</v>
      </c>
      <c r="G113" s="161">
        <f t="shared" si="25"/>
        <v>516247.37280144275</v>
      </c>
      <c r="H113" s="165">
        <f t="shared" si="26"/>
        <v>74602.392569443065</v>
      </c>
      <c r="I113" s="299">
        <f t="shared" si="27"/>
        <v>74602.392569443065</v>
      </c>
      <c r="J113" s="160">
        <f t="shared" si="16"/>
        <v>0</v>
      </c>
      <c r="K113" s="160"/>
      <c r="L113" s="316"/>
      <c r="M113" s="160">
        <f t="shared" si="22"/>
        <v>0</v>
      </c>
      <c r="N113" s="316"/>
      <c r="O113" s="160">
        <f t="shared" si="19"/>
        <v>0</v>
      </c>
      <c r="P113" s="160">
        <f t="shared" si="20"/>
        <v>0</v>
      </c>
      <c r="Q113" s="1"/>
      <c r="R113" s="1"/>
      <c r="S113" s="1"/>
      <c r="T113" s="1"/>
      <c r="U113" s="1"/>
    </row>
    <row r="114" spans="2:21">
      <c r="B114" t="str">
        <f t="shared" si="21"/>
        <v/>
      </c>
      <c r="C114" s="155">
        <f>IF(D94="","-",+C113+1)</f>
        <v>2024</v>
      </c>
      <c r="D114" s="156">
        <f>IF(F113+SUM(E$100:E113)=D$93,F113,D$93-SUM(E$100:E113))</f>
        <v>506194.34502366494</v>
      </c>
      <c r="E114" s="162">
        <f>IF(+J97&lt;F113,J97,D114)</f>
        <v>20106.055555555555</v>
      </c>
      <c r="F114" s="161">
        <f t="shared" si="24"/>
        <v>486088.28946810937</v>
      </c>
      <c r="G114" s="161">
        <f t="shared" si="25"/>
        <v>496141.31724588713</v>
      </c>
      <c r="H114" s="165">
        <f t="shared" si="26"/>
        <v>72479.948103276402</v>
      </c>
      <c r="I114" s="299">
        <f t="shared" si="27"/>
        <v>72479.948103276402</v>
      </c>
      <c r="J114" s="160">
        <f t="shared" si="16"/>
        <v>0</v>
      </c>
      <c r="K114" s="160"/>
      <c r="L114" s="316"/>
      <c r="M114" s="160">
        <f t="shared" si="22"/>
        <v>0</v>
      </c>
      <c r="N114" s="316"/>
      <c r="O114" s="160">
        <f t="shared" si="19"/>
        <v>0</v>
      </c>
      <c r="P114" s="160">
        <f t="shared" si="20"/>
        <v>0</v>
      </c>
      <c r="Q114" s="1"/>
      <c r="R114" s="1"/>
      <c r="S114" s="1"/>
      <c r="T114" s="1"/>
      <c r="U114" s="1"/>
    </row>
    <row r="115" spans="2:21">
      <c r="B115" t="str">
        <f t="shared" si="21"/>
        <v/>
      </c>
      <c r="C115" s="155">
        <f>IF(D94="","-",+C114+1)</f>
        <v>2025</v>
      </c>
      <c r="D115" s="156">
        <f>IF(F114+SUM(E$100:E114)=D$93,F114,D$93-SUM(E$100:E114))</f>
        <v>486088.28946810937</v>
      </c>
      <c r="E115" s="162">
        <f>IF(+J97&lt;F114,J97,D115)</f>
        <v>20106.055555555555</v>
      </c>
      <c r="F115" s="161">
        <f t="shared" si="24"/>
        <v>465982.23391255381</v>
      </c>
      <c r="G115" s="161">
        <f t="shared" si="25"/>
        <v>476035.26169033162</v>
      </c>
      <c r="H115" s="165">
        <f t="shared" si="26"/>
        <v>70357.503637109738</v>
      </c>
      <c r="I115" s="299">
        <f t="shared" si="27"/>
        <v>70357.503637109738</v>
      </c>
      <c r="J115" s="160">
        <f t="shared" si="16"/>
        <v>0</v>
      </c>
      <c r="K115" s="160"/>
      <c r="L115" s="316"/>
      <c r="M115" s="160">
        <f t="shared" si="22"/>
        <v>0</v>
      </c>
      <c r="N115" s="316"/>
      <c r="O115" s="160">
        <f t="shared" si="19"/>
        <v>0</v>
      </c>
      <c r="P115" s="160">
        <f t="shared" si="20"/>
        <v>0</v>
      </c>
      <c r="Q115" s="1"/>
      <c r="R115" s="1"/>
      <c r="S115" s="1"/>
      <c r="T115" s="1"/>
      <c r="U115" s="1"/>
    </row>
    <row r="116" spans="2:21">
      <c r="B116" t="str">
        <f t="shared" si="21"/>
        <v/>
      </c>
      <c r="C116" s="155">
        <f>IF(D94="","-",+C115+1)</f>
        <v>2026</v>
      </c>
      <c r="D116" s="156">
        <f>IF(F115+SUM(E$100:E115)=D$93,F115,D$93-SUM(E$100:E115))</f>
        <v>465982.23391255381</v>
      </c>
      <c r="E116" s="162">
        <f>IF(+J97&lt;F115,J97,D116)</f>
        <v>20106.055555555555</v>
      </c>
      <c r="F116" s="161">
        <f t="shared" si="24"/>
        <v>445876.17835699825</v>
      </c>
      <c r="G116" s="161">
        <f t="shared" si="25"/>
        <v>455929.206134776</v>
      </c>
      <c r="H116" s="165">
        <f t="shared" si="26"/>
        <v>68235.059170943074</v>
      </c>
      <c r="I116" s="299">
        <f t="shared" si="27"/>
        <v>68235.059170943074</v>
      </c>
      <c r="J116" s="160">
        <f t="shared" si="16"/>
        <v>0</v>
      </c>
      <c r="K116" s="160"/>
      <c r="L116" s="316"/>
      <c r="M116" s="160">
        <f t="shared" si="22"/>
        <v>0</v>
      </c>
      <c r="N116" s="316"/>
      <c r="O116" s="160">
        <f t="shared" si="19"/>
        <v>0</v>
      </c>
      <c r="P116" s="160">
        <f t="shared" si="20"/>
        <v>0</v>
      </c>
      <c r="Q116" s="1"/>
      <c r="R116" s="1"/>
      <c r="S116" s="1"/>
      <c r="T116" s="1"/>
      <c r="U116" s="1"/>
    </row>
    <row r="117" spans="2:21">
      <c r="B117" t="str">
        <f t="shared" si="21"/>
        <v/>
      </c>
      <c r="C117" s="155">
        <f>IF(D94="","-",+C116+1)</f>
        <v>2027</v>
      </c>
      <c r="D117" s="156">
        <f>IF(F116+SUM(E$100:E116)=D$93,F116,D$93-SUM(E$100:E116))</f>
        <v>445876.17835699825</v>
      </c>
      <c r="E117" s="162">
        <f>IF(+J97&lt;F116,J97,D117)</f>
        <v>20106.055555555555</v>
      </c>
      <c r="F117" s="161">
        <f t="shared" si="24"/>
        <v>425770.12280144269</v>
      </c>
      <c r="G117" s="161">
        <f t="shared" si="25"/>
        <v>435823.1505792205</v>
      </c>
      <c r="H117" s="165">
        <f t="shared" si="26"/>
        <v>66112.61470477641</v>
      </c>
      <c r="I117" s="299">
        <f t="shared" si="27"/>
        <v>66112.61470477641</v>
      </c>
      <c r="J117" s="160">
        <f t="shared" si="16"/>
        <v>0</v>
      </c>
      <c r="K117" s="160"/>
      <c r="L117" s="316"/>
      <c r="M117" s="160">
        <f t="shared" si="22"/>
        <v>0</v>
      </c>
      <c r="N117" s="316"/>
      <c r="O117" s="160">
        <f t="shared" si="19"/>
        <v>0</v>
      </c>
      <c r="P117" s="160">
        <f t="shared" si="20"/>
        <v>0</v>
      </c>
      <c r="Q117" s="1"/>
      <c r="R117" s="1"/>
      <c r="S117" s="1"/>
      <c r="T117" s="1"/>
      <c r="U117" s="1"/>
    </row>
    <row r="118" spans="2:21">
      <c r="B118" t="str">
        <f t="shared" si="21"/>
        <v/>
      </c>
      <c r="C118" s="155">
        <f>IF(D94="","-",+C117+1)</f>
        <v>2028</v>
      </c>
      <c r="D118" s="156">
        <f>IF(F117+SUM(E$100:E117)=D$93,F117,D$93-SUM(E$100:E117))</f>
        <v>425770.12280144269</v>
      </c>
      <c r="E118" s="162">
        <f>IF(+J97&lt;F117,J97,D118)</f>
        <v>20106.055555555555</v>
      </c>
      <c r="F118" s="161">
        <f t="shared" si="24"/>
        <v>405664.06724588713</v>
      </c>
      <c r="G118" s="161">
        <f t="shared" si="25"/>
        <v>415717.09502366488</v>
      </c>
      <c r="H118" s="165">
        <f t="shared" si="26"/>
        <v>63990.170238609739</v>
      </c>
      <c r="I118" s="299">
        <f t="shared" si="27"/>
        <v>63990.170238609739</v>
      </c>
      <c r="J118" s="160">
        <f t="shared" si="16"/>
        <v>0</v>
      </c>
      <c r="K118" s="160"/>
      <c r="L118" s="316"/>
      <c r="M118" s="160">
        <f t="shared" si="22"/>
        <v>0</v>
      </c>
      <c r="N118" s="316"/>
      <c r="O118" s="160">
        <f t="shared" si="19"/>
        <v>0</v>
      </c>
      <c r="P118" s="160">
        <f t="shared" si="20"/>
        <v>0</v>
      </c>
      <c r="Q118" s="1"/>
      <c r="R118" s="1"/>
      <c r="S118" s="1"/>
      <c r="T118" s="1"/>
      <c r="U118" s="1"/>
    </row>
    <row r="119" spans="2:21">
      <c r="B119" t="str">
        <f t="shared" si="21"/>
        <v/>
      </c>
      <c r="C119" s="155">
        <f>IF(D94="","-",+C118+1)</f>
        <v>2029</v>
      </c>
      <c r="D119" s="156">
        <f>IF(F118+SUM(E$100:E118)=D$93,F118,D$93-SUM(E$100:E118))</f>
        <v>405664.06724588713</v>
      </c>
      <c r="E119" s="162">
        <f>IF(+J97&lt;F118,J97,D119)</f>
        <v>20106.055555555555</v>
      </c>
      <c r="F119" s="161">
        <f t="shared" si="24"/>
        <v>385558.01169033156</v>
      </c>
      <c r="G119" s="161">
        <f t="shared" si="25"/>
        <v>395611.03946810937</v>
      </c>
      <c r="H119" s="165">
        <f t="shared" si="26"/>
        <v>61867.725772443082</v>
      </c>
      <c r="I119" s="299">
        <f t="shared" si="27"/>
        <v>61867.725772443082</v>
      </c>
      <c r="J119" s="160">
        <f t="shared" si="16"/>
        <v>0</v>
      </c>
      <c r="K119" s="160"/>
      <c r="L119" s="316"/>
      <c r="M119" s="160">
        <f t="shared" si="22"/>
        <v>0</v>
      </c>
      <c r="N119" s="316"/>
      <c r="O119" s="160">
        <f t="shared" si="19"/>
        <v>0</v>
      </c>
      <c r="P119" s="160">
        <f t="shared" si="20"/>
        <v>0</v>
      </c>
      <c r="Q119" s="1"/>
      <c r="R119" s="1"/>
      <c r="S119" s="1"/>
      <c r="T119" s="1"/>
      <c r="U119" s="1"/>
    </row>
    <row r="120" spans="2:21">
      <c r="B120" t="str">
        <f t="shared" si="21"/>
        <v/>
      </c>
      <c r="C120" s="155">
        <f>IF(D94="","-",+C119+1)</f>
        <v>2030</v>
      </c>
      <c r="D120" s="156">
        <f>IF(F119+SUM(E$100:E119)=D$93,F119,D$93-SUM(E$100:E119))</f>
        <v>385558.01169033156</v>
      </c>
      <c r="E120" s="162">
        <f>IF(+J97&lt;F119,J97,D120)</f>
        <v>20106.055555555555</v>
      </c>
      <c r="F120" s="161">
        <f t="shared" si="24"/>
        <v>365451.956134776</v>
      </c>
      <c r="G120" s="161">
        <f t="shared" si="25"/>
        <v>375504.98391255375</v>
      </c>
      <c r="H120" s="165">
        <f t="shared" si="26"/>
        <v>59745.281306276411</v>
      </c>
      <c r="I120" s="299">
        <f t="shared" si="27"/>
        <v>59745.281306276411</v>
      </c>
      <c r="J120" s="160">
        <f t="shared" si="16"/>
        <v>0</v>
      </c>
      <c r="K120" s="160"/>
      <c r="L120" s="316"/>
      <c r="M120" s="160">
        <f t="shared" si="22"/>
        <v>0</v>
      </c>
      <c r="N120" s="316"/>
      <c r="O120" s="160">
        <f t="shared" si="19"/>
        <v>0</v>
      </c>
      <c r="P120" s="160">
        <f t="shared" si="20"/>
        <v>0</v>
      </c>
      <c r="Q120" s="1"/>
      <c r="R120" s="1"/>
      <c r="S120" s="1"/>
      <c r="T120" s="1"/>
      <c r="U120" s="1"/>
    </row>
    <row r="121" spans="2:21">
      <c r="B121" t="str">
        <f t="shared" si="21"/>
        <v/>
      </c>
      <c r="C121" s="155">
        <f>IF(D94="","-",+C120+1)</f>
        <v>2031</v>
      </c>
      <c r="D121" s="156">
        <f>IF(F120+SUM(E$100:E120)=D$93,F120,D$93-SUM(E$100:E120))</f>
        <v>365451.956134776</v>
      </c>
      <c r="E121" s="162">
        <f>IF(+J97&lt;F120,J97,D121)</f>
        <v>20106.055555555555</v>
      </c>
      <c r="F121" s="161">
        <f t="shared" si="24"/>
        <v>345345.90057922044</v>
      </c>
      <c r="G121" s="161">
        <f t="shared" si="25"/>
        <v>355398.92835699825</v>
      </c>
      <c r="H121" s="165">
        <f t="shared" si="26"/>
        <v>57622.836840109754</v>
      </c>
      <c r="I121" s="299">
        <f t="shared" si="27"/>
        <v>57622.836840109754</v>
      </c>
      <c r="J121" s="160">
        <f t="shared" si="16"/>
        <v>0</v>
      </c>
      <c r="K121" s="160"/>
      <c r="L121" s="316"/>
      <c r="M121" s="160">
        <f t="shared" si="22"/>
        <v>0</v>
      </c>
      <c r="N121" s="316"/>
      <c r="O121" s="160">
        <f t="shared" si="19"/>
        <v>0</v>
      </c>
      <c r="P121" s="160">
        <f t="shared" si="20"/>
        <v>0</v>
      </c>
      <c r="Q121" s="1"/>
      <c r="R121" s="1"/>
      <c r="S121" s="1"/>
      <c r="T121" s="1"/>
      <c r="U121" s="1"/>
    </row>
    <row r="122" spans="2:21">
      <c r="B122" t="str">
        <f t="shared" si="21"/>
        <v/>
      </c>
      <c r="C122" s="155">
        <f>IF(D94="","-",+C121+1)</f>
        <v>2032</v>
      </c>
      <c r="D122" s="156">
        <f>IF(F121+SUM(E$100:E121)=D$93,F121,D$93-SUM(E$100:E121))</f>
        <v>345345.90057922044</v>
      </c>
      <c r="E122" s="162">
        <f>IF(+J97&lt;F121,J97,D122)</f>
        <v>20106.055555555555</v>
      </c>
      <c r="F122" s="161">
        <f t="shared" si="24"/>
        <v>325239.84502366488</v>
      </c>
      <c r="G122" s="161">
        <f t="shared" si="25"/>
        <v>335292.87280144263</v>
      </c>
      <c r="H122" s="165">
        <f t="shared" si="26"/>
        <v>55500.392373943083</v>
      </c>
      <c r="I122" s="299">
        <f t="shared" si="27"/>
        <v>55500.392373943083</v>
      </c>
      <c r="J122" s="160">
        <f t="shared" si="16"/>
        <v>0</v>
      </c>
      <c r="K122" s="160"/>
      <c r="L122" s="316"/>
      <c r="M122" s="160">
        <f t="shared" si="22"/>
        <v>0</v>
      </c>
      <c r="N122" s="316"/>
      <c r="O122" s="160">
        <f t="shared" si="19"/>
        <v>0</v>
      </c>
      <c r="P122" s="160">
        <f t="shared" si="20"/>
        <v>0</v>
      </c>
      <c r="Q122" s="1"/>
      <c r="R122" s="1"/>
      <c r="S122" s="1"/>
      <c r="T122" s="1"/>
      <c r="U122" s="1"/>
    </row>
    <row r="123" spans="2:21">
      <c r="B123" t="str">
        <f t="shared" si="21"/>
        <v/>
      </c>
      <c r="C123" s="155">
        <f>IF(D94="","-",+C122+1)</f>
        <v>2033</v>
      </c>
      <c r="D123" s="156">
        <f>IF(F122+SUM(E$100:E122)=D$93,F122,D$93-SUM(E$100:E122))</f>
        <v>325239.84502366488</v>
      </c>
      <c r="E123" s="162">
        <f>IF(+J97&lt;F122,J97,D123)</f>
        <v>20106.055555555555</v>
      </c>
      <c r="F123" s="161">
        <f t="shared" si="24"/>
        <v>305133.78946810932</v>
      </c>
      <c r="G123" s="161">
        <f t="shared" si="25"/>
        <v>315186.81724588713</v>
      </c>
      <c r="H123" s="165">
        <f t="shared" si="26"/>
        <v>53377.947907776426</v>
      </c>
      <c r="I123" s="299">
        <f t="shared" si="27"/>
        <v>53377.947907776426</v>
      </c>
      <c r="J123" s="160">
        <f t="shared" si="16"/>
        <v>0</v>
      </c>
      <c r="K123" s="160"/>
      <c r="L123" s="316"/>
      <c r="M123" s="160">
        <f t="shared" si="22"/>
        <v>0</v>
      </c>
      <c r="N123" s="316"/>
      <c r="O123" s="160">
        <f t="shared" si="19"/>
        <v>0</v>
      </c>
      <c r="P123" s="160">
        <f t="shared" si="20"/>
        <v>0</v>
      </c>
      <c r="Q123" s="1"/>
      <c r="R123" s="1"/>
      <c r="S123" s="1"/>
      <c r="T123" s="1"/>
      <c r="U123" s="1"/>
    </row>
    <row r="124" spans="2:21">
      <c r="B124" t="str">
        <f t="shared" si="21"/>
        <v/>
      </c>
      <c r="C124" s="155">
        <f>IF(D94="","-",+C123+1)</f>
        <v>2034</v>
      </c>
      <c r="D124" s="156">
        <f>IF(F123+SUM(E$100:E123)=D$93,F123,D$93-SUM(E$100:E123))</f>
        <v>305133.78946810932</v>
      </c>
      <c r="E124" s="162">
        <f>IF(+J97&lt;F123,J97,D124)</f>
        <v>20106.055555555555</v>
      </c>
      <c r="F124" s="161">
        <f t="shared" si="24"/>
        <v>285027.73391255375</v>
      </c>
      <c r="G124" s="161">
        <f t="shared" si="25"/>
        <v>295080.76169033151</v>
      </c>
      <c r="H124" s="165">
        <f t="shared" si="26"/>
        <v>51255.503441609748</v>
      </c>
      <c r="I124" s="299">
        <f t="shared" si="27"/>
        <v>51255.503441609748</v>
      </c>
      <c r="J124" s="160">
        <f t="shared" si="16"/>
        <v>0</v>
      </c>
      <c r="K124" s="160"/>
      <c r="L124" s="316"/>
      <c r="M124" s="160">
        <f t="shared" si="22"/>
        <v>0</v>
      </c>
      <c r="N124" s="316"/>
      <c r="O124" s="160">
        <f t="shared" si="19"/>
        <v>0</v>
      </c>
      <c r="P124" s="160">
        <f t="shared" si="20"/>
        <v>0</v>
      </c>
      <c r="Q124" s="1"/>
      <c r="R124" s="1"/>
      <c r="S124" s="1"/>
      <c r="T124" s="1"/>
      <c r="U124" s="1"/>
    </row>
    <row r="125" spans="2:21">
      <c r="B125" t="str">
        <f t="shared" si="21"/>
        <v/>
      </c>
      <c r="C125" s="155">
        <f>IF(D94="","-",+C124+1)</f>
        <v>2035</v>
      </c>
      <c r="D125" s="156">
        <f>IF(F124+SUM(E$100:E124)=D$93,F124,D$93-SUM(E$100:E124))</f>
        <v>285027.73391255375</v>
      </c>
      <c r="E125" s="162">
        <f>IF(+J97&lt;F124,J97,D125)</f>
        <v>20106.055555555555</v>
      </c>
      <c r="F125" s="161">
        <f t="shared" si="24"/>
        <v>264921.67835699819</v>
      </c>
      <c r="G125" s="161">
        <f t="shared" si="25"/>
        <v>274974.706134776</v>
      </c>
      <c r="H125" s="165">
        <f t="shared" si="26"/>
        <v>49133.058975443098</v>
      </c>
      <c r="I125" s="299">
        <f t="shared" si="27"/>
        <v>49133.058975443098</v>
      </c>
      <c r="J125" s="160">
        <f t="shared" si="16"/>
        <v>0</v>
      </c>
      <c r="K125" s="160"/>
      <c r="L125" s="316"/>
      <c r="M125" s="160">
        <f t="shared" si="22"/>
        <v>0</v>
      </c>
      <c r="N125" s="316"/>
      <c r="O125" s="160">
        <f t="shared" si="19"/>
        <v>0</v>
      </c>
      <c r="P125" s="160">
        <f t="shared" si="20"/>
        <v>0</v>
      </c>
      <c r="Q125" s="1"/>
      <c r="R125" s="1"/>
      <c r="S125" s="1"/>
      <c r="T125" s="1"/>
      <c r="U125" s="1"/>
    </row>
    <row r="126" spans="2:21">
      <c r="B126" t="str">
        <f t="shared" si="21"/>
        <v/>
      </c>
      <c r="C126" s="155">
        <f>IF(D94="","-",+C125+1)</f>
        <v>2036</v>
      </c>
      <c r="D126" s="156">
        <f>IF(F125+SUM(E$100:E125)=D$93,F125,D$93-SUM(E$100:E125))</f>
        <v>264921.67835699819</v>
      </c>
      <c r="E126" s="162">
        <f>IF(+J97&lt;F125,J97,D126)</f>
        <v>20106.055555555555</v>
      </c>
      <c r="F126" s="161">
        <f t="shared" si="24"/>
        <v>244815.62280144263</v>
      </c>
      <c r="G126" s="161">
        <f t="shared" si="25"/>
        <v>254868.65057922041</v>
      </c>
      <c r="H126" s="165">
        <f t="shared" si="26"/>
        <v>47010.614509276427</v>
      </c>
      <c r="I126" s="299">
        <f t="shared" si="27"/>
        <v>47010.614509276427</v>
      </c>
      <c r="J126" s="160">
        <f t="shared" si="16"/>
        <v>0</v>
      </c>
      <c r="K126" s="160"/>
      <c r="L126" s="316"/>
      <c r="M126" s="160">
        <f t="shared" si="22"/>
        <v>0</v>
      </c>
      <c r="N126" s="316"/>
      <c r="O126" s="160">
        <f t="shared" si="19"/>
        <v>0</v>
      </c>
      <c r="P126" s="160">
        <f t="shared" si="20"/>
        <v>0</v>
      </c>
      <c r="Q126" s="1"/>
      <c r="R126" s="1"/>
      <c r="S126" s="1"/>
      <c r="T126" s="1"/>
      <c r="U126" s="1"/>
    </row>
    <row r="127" spans="2:21">
      <c r="B127" t="str">
        <f t="shared" si="21"/>
        <v/>
      </c>
      <c r="C127" s="155">
        <f>IF(D94="","-",+C126+1)</f>
        <v>2037</v>
      </c>
      <c r="D127" s="156">
        <f>IF(F126+SUM(E$100:E126)=D$93,F126,D$93-SUM(E$100:E126))</f>
        <v>244815.62280144263</v>
      </c>
      <c r="E127" s="162">
        <f>IF(+J97&lt;F126,J97,D127)</f>
        <v>20106.055555555555</v>
      </c>
      <c r="F127" s="161">
        <f t="shared" si="24"/>
        <v>224709.56724588707</v>
      </c>
      <c r="G127" s="161">
        <f t="shared" si="25"/>
        <v>234762.59502366485</v>
      </c>
      <c r="H127" s="165">
        <f t="shared" si="26"/>
        <v>44888.170043109756</v>
      </c>
      <c r="I127" s="299">
        <f t="shared" si="27"/>
        <v>44888.170043109756</v>
      </c>
      <c r="J127" s="160">
        <f t="shared" si="16"/>
        <v>0</v>
      </c>
      <c r="K127" s="160"/>
      <c r="L127" s="316"/>
      <c r="M127" s="160">
        <f t="shared" si="22"/>
        <v>0</v>
      </c>
      <c r="N127" s="316"/>
      <c r="O127" s="160">
        <f t="shared" si="19"/>
        <v>0</v>
      </c>
      <c r="P127" s="160">
        <f t="shared" si="20"/>
        <v>0</v>
      </c>
      <c r="Q127" s="1"/>
      <c r="R127" s="1"/>
      <c r="S127" s="1"/>
      <c r="T127" s="1"/>
      <c r="U127" s="1"/>
    </row>
    <row r="128" spans="2:21">
      <c r="B128" t="str">
        <f t="shared" si="21"/>
        <v/>
      </c>
      <c r="C128" s="155">
        <f>IF(D94="","-",+C127+1)</f>
        <v>2038</v>
      </c>
      <c r="D128" s="156">
        <f>IF(F127+SUM(E$100:E127)=D$93,F127,D$93-SUM(E$100:E127))</f>
        <v>224709.56724588707</v>
      </c>
      <c r="E128" s="162">
        <f>IF(+J97&lt;F127,J97,D128)</f>
        <v>20106.055555555555</v>
      </c>
      <c r="F128" s="161">
        <f t="shared" si="24"/>
        <v>204603.51169033151</v>
      </c>
      <c r="G128" s="161">
        <f t="shared" si="25"/>
        <v>214656.53946810929</v>
      </c>
      <c r="H128" s="165">
        <f t="shared" si="26"/>
        <v>42765.725576943092</v>
      </c>
      <c r="I128" s="299">
        <f t="shared" si="27"/>
        <v>42765.725576943092</v>
      </c>
      <c r="J128" s="160">
        <f t="shared" si="16"/>
        <v>0</v>
      </c>
      <c r="K128" s="160"/>
      <c r="L128" s="316"/>
      <c r="M128" s="160">
        <f t="shared" si="22"/>
        <v>0</v>
      </c>
      <c r="N128" s="316"/>
      <c r="O128" s="160">
        <f t="shared" si="19"/>
        <v>0</v>
      </c>
      <c r="P128" s="160">
        <f t="shared" si="20"/>
        <v>0</v>
      </c>
      <c r="Q128" s="1"/>
      <c r="R128" s="1"/>
      <c r="S128" s="1"/>
      <c r="T128" s="1"/>
      <c r="U128" s="1"/>
    </row>
    <row r="129" spans="2:21">
      <c r="B129" t="str">
        <f t="shared" si="21"/>
        <v/>
      </c>
      <c r="C129" s="155">
        <f>IF(D94="","-",+C128+1)</f>
        <v>2039</v>
      </c>
      <c r="D129" s="156">
        <f>IF(F128+SUM(E$100:E128)=D$93,F128,D$93-SUM(E$100:E128))</f>
        <v>204603.51169033151</v>
      </c>
      <c r="E129" s="162">
        <f>IF(+J97&lt;F128,J97,D129)</f>
        <v>20106.055555555555</v>
      </c>
      <c r="F129" s="161">
        <f t="shared" si="24"/>
        <v>184497.45613477594</v>
      </c>
      <c r="G129" s="161">
        <f t="shared" si="25"/>
        <v>194550.48391255373</v>
      </c>
      <c r="H129" s="165">
        <f t="shared" si="26"/>
        <v>40643.281110776428</v>
      </c>
      <c r="I129" s="299">
        <f t="shared" si="27"/>
        <v>40643.281110776428</v>
      </c>
      <c r="J129" s="160">
        <f t="shared" si="16"/>
        <v>0</v>
      </c>
      <c r="K129" s="160"/>
      <c r="L129" s="316"/>
      <c r="M129" s="160">
        <f t="shared" si="22"/>
        <v>0</v>
      </c>
      <c r="N129" s="316"/>
      <c r="O129" s="160">
        <f t="shared" si="19"/>
        <v>0</v>
      </c>
      <c r="P129" s="160">
        <f t="shared" si="20"/>
        <v>0</v>
      </c>
      <c r="Q129" s="1"/>
      <c r="R129" s="1"/>
      <c r="S129" s="1"/>
      <c r="T129" s="1"/>
      <c r="U129" s="1"/>
    </row>
    <row r="130" spans="2:21">
      <c r="B130" t="str">
        <f t="shared" si="21"/>
        <v/>
      </c>
      <c r="C130" s="155">
        <f>IF(D94="","-",+C129+1)</f>
        <v>2040</v>
      </c>
      <c r="D130" s="156">
        <f>IF(F129+SUM(E$100:E129)=D$93,F129,D$93-SUM(E$100:E129))</f>
        <v>184497.45613477594</v>
      </c>
      <c r="E130" s="162">
        <f>IF(+J97&lt;F129,J97,D130)</f>
        <v>20106.055555555555</v>
      </c>
      <c r="F130" s="161">
        <f t="shared" si="24"/>
        <v>164391.40057922038</v>
      </c>
      <c r="G130" s="161">
        <f t="shared" si="25"/>
        <v>174444.42835699816</v>
      </c>
      <c r="H130" s="165">
        <f t="shared" si="26"/>
        <v>38520.836644609764</v>
      </c>
      <c r="I130" s="299">
        <f t="shared" si="27"/>
        <v>38520.836644609764</v>
      </c>
      <c r="J130" s="160">
        <f t="shared" si="16"/>
        <v>0</v>
      </c>
      <c r="K130" s="160"/>
      <c r="L130" s="316"/>
      <c r="M130" s="160">
        <f t="shared" si="22"/>
        <v>0</v>
      </c>
      <c r="N130" s="316"/>
      <c r="O130" s="160">
        <f t="shared" si="19"/>
        <v>0</v>
      </c>
      <c r="P130" s="160">
        <f t="shared" si="20"/>
        <v>0</v>
      </c>
      <c r="Q130" s="1"/>
      <c r="R130" s="1"/>
      <c r="S130" s="1"/>
      <c r="T130" s="1"/>
      <c r="U130" s="1"/>
    </row>
    <row r="131" spans="2:21">
      <c r="B131" t="str">
        <f t="shared" si="21"/>
        <v/>
      </c>
      <c r="C131" s="155">
        <f>IF(D94="","-",+C130+1)</f>
        <v>2041</v>
      </c>
      <c r="D131" s="156">
        <f>IF(F130+SUM(E$100:E130)=D$93,F130,D$93-SUM(E$100:E130))</f>
        <v>164391.40057922038</v>
      </c>
      <c r="E131" s="162">
        <f>IF(+J97&lt;F130,J97,D131)</f>
        <v>20106.055555555555</v>
      </c>
      <c r="F131" s="161">
        <f t="shared" si="24"/>
        <v>144285.34502366482</v>
      </c>
      <c r="G131" s="161">
        <f t="shared" si="25"/>
        <v>154338.3728014426</v>
      </c>
      <c r="H131" s="165">
        <f t="shared" si="26"/>
        <v>36398.3921784431</v>
      </c>
      <c r="I131" s="299">
        <f t="shared" si="27"/>
        <v>36398.3921784431</v>
      </c>
      <c r="J131" s="160">
        <f t="shared" si="16"/>
        <v>0</v>
      </c>
      <c r="K131" s="160"/>
      <c r="L131" s="316"/>
      <c r="M131" s="160">
        <f t="shared" si="22"/>
        <v>0</v>
      </c>
      <c r="N131" s="316"/>
      <c r="O131" s="160">
        <f t="shared" si="19"/>
        <v>0</v>
      </c>
      <c r="P131" s="160">
        <f t="shared" si="20"/>
        <v>0</v>
      </c>
      <c r="Q131" s="1"/>
      <c r="R131" s="1"/>
      <c r="S131" s="1"/>
      <c r="T131" s="1"/>
      <c r="U131" s="1"/>
    </row>
    <row r="132" spans="2:21">
      <c r="B132" t="str">
        <f t="shared" si="21"/>
        <v/>
      </c>
      <c r="C132" s="155">
        <f>IF(D94="","-",+C131+1)</f>
        <v>2042</v>
      </c>
      <c r="D132" s="156">
        <f>IF(F131+SUM(E$100:E131)=D$93,F131,D$93-SUM(E$100:E131))</f>
        <v>144285.34502366482</v>
      </c>
      <c r="E132" s="162">
        <f>IF(+J97&lt;F131,J97,D132)</f>
        <v>20106.055555555555</v>
      </c>
      <c r="F132" s="161">
        <f t="shared" ref="F132:F155" si="28">+D132-E132</f>
        <v>124179.28946810926</v>
      </c>
      <c r="G132" s="161">
        <f t="shared" ref="G132:G155" si="29">+(F132+D132)/2</f>
        <v>134232.31724588704</v>
      </c>
      <c r="H132" s="165">
        <f t="shared" si="26"/>
        <v>34275.947712276437</v>
      </c>
      <c r="I132" s="299">
        <f t="shared" si="27"/>
        <v>34275.947712276437</v>
      </c>
      <c r="J132" s="160">
        <f t="shared" ref="J132:J155" si="30">+I132-H132</f>
        <v>0</v>
      </c>
      <c r="K132" s="160"/>
      <c r="L132" s="316"/>
      <c r="M132" s="160">
        <f t="shared" ref="M132:M155" si="31">IF(L132&lt;&gt;0,+H132-L132,0)</f>
        <v>0</v>
      </c>
      <c r="N132" s="316"/>
      <c r="O132" s="160">
        <f t="shared" ref="O132:O155" si="32">IF(N132&lt;&gt;0,+I132-N132,0)</f>
        <v>0</v>
      </c>
      <c r="P132" s="160">
        <f t="shared" ref="P132:P155" si="33">+O132-M132</f>
        <v>0</v>
      </c>
      <c r="Q132" s="1"/>
      <c r="R132" s="1"/>
      <c r="S132" s="1"/>
      <c r="T132" s="1"/>
      <c r="U132" s="1"/>
    </row>
    <row r="133" spans="2:21">
      <c r="B133" t="str">
        <f t="shared" si="21"/>
        <v/>
      </c>
      <c r="C133" s="155">
        <f>IF(D94="","-",+C132+1)</f>
        <v>2043</v>
      </c>
      <c r="D133" s="156">
        <f>IF(F132+SUM(E$100:E132)=D$93,F132,D$93-SUM(E$100:E132))</f>
        <v>124179.28946810926</v>
      </c>
      <c r="E133" s="162">
        <f>IF(+J97&lt;F132,J97,D133)</f>
        <v>20106.055555555555</v>
      </c>
      <c r="F133" s="161">
        <f t="shared" si="28"/>
        <v>104073.2339125537</v>
      </c>
      <c r="G133" s="161">
        <f t="shared" si="29"/>
        <v>114126.26169033148</v>
      </c>
      <c r="H133" s="165">
        <f t="shared" ref="H133:H155" si="34">+J$95*G133+E133</f>
        <v>32153.503246109773</v>
      </c>
      <c r="I133" s="299">
        <f t="shared" ref="I133:I155" si="35">+J$96*G133+E133</f>
        <v>32153.503246109773</v>
      </c>
      <c r="J133" s="160">
        <f t="shared" si="30"/>
        <v>0</v>
      </c>
      <c r="K133" s="160"/>
      <c r="L133" s="316"/>
      <c r="M133" s="160">
        <f t="shared" si="31"/>
        <v>0</v>
      </c>
      <c r="N133" s="316"/>
      <c r="O133" s="160">
        <f t="shared" si="32"/>
        <v>0</v>
      </c>
      <c r="P133" s="160">
        <f t="shared" si="33"/>
        <v>0</v>
      </c>
      <c r="Q133" s="1"/>
      <c r="R133" s="1"/>
      <c r="S133" s="1"/>
      <c r="T133" s="1"/>
      <c r="U133" s="1"/>
    </row>
    <row r="134" spans="2:21">
      <c r="B134" t="str">
        <f t="shared" si="21"/>
        <v/>
      </c>
      <c r="C134" s="155">
        <f>IF(D94="","-",+C133+1)</f>
        <v>2044</v>
      </c>
      <c r="D134" s="156">
        <f>IF(F133+SUM(E$100:E133)=D$93,F133,D$93-SUM(E$100:E133))</f>
        <v>104073.2339125537</v>
      </c>
      <c r="E134" s="162">
        <f>IF(+J97&lt;F133,J97,D134)</f>
        <v>20106.055555555555</v>
      </c>
      <c r="F134" s="161">
        <f t="shared" si="28"/>
        <v>83967.178356998134</v>
      </c>
      <c r="G134" s="161">
        <f t="shared" si="29"/>
        <v>94020.206134775915</v>
      </c>
      <c r="H134" s="165">
        <f t="shared" si="34"/>
        <v>30031.058779943109</v>
      </c>
      <c r="I134" s="299">
        <f t="shared" si="35"/>
        <v>30031.058779943109</v>
      </c>
      <c r="J134" s="160">
        <f t="shared" si="30"/>
        <v>0</v>
      </c>
      <c r="K134" s="160"/>
      <c r="L134" s="316"/>
      <c r="M134" s="160">
        <f t="shared" si="31"/>
        <v>0</v>
      </c>
      <c r="N134" s="316"/>
      <c r="O134" s="160">
        <f t="shared" si="32"/>
        <v>0</v>
      </c>
      <c r="P134" s="160">
        <f t="shared" si="33"/>
        <v>0</v>
      </c>
      <c r="Q134" s="1"/>
      <c r="R134" s="1"/>
      <c r="S134" s="1"/>
      <c r="T134" s="1"/>
      <c r="U134" s="1"/>
    </row>
    <row r="135" spans="2:21">
      <c r="B135" t="str">
        <f t="shared" si="21"/>
        <v/>
      </c>
      <c r="C135" s="155">
        <f>IF(D94="","-",+C134+1)</f>
        <v>2045</v>
      </c>
      <c r="D135" s="156">
        <f>IF(F134+SUM(E$100:E134)=D$93,F134,D$93-SUM(E$100:E134))</f>
        <v>83967.178356998134</v>
      </c>
      <c r="E135" s="162">
        <f>IF(+J97&lt;F134,J97,D135)</f>
        <v>20106.055555555555</v>
      </c>
      <c r="F135" s="161">
        <f t="shared" si="28"/>
        <v>63861.12280144258</v>
      </c>
      <c r="G135" s="161">
        <f t="shared" si="29"/>
        <v>73914.150579220353</v>
      </c>
      <c r="H135" s="165">
        <f t="shared" si="34"/>
        <v>27908.614313776445</v>
      </c>
      <c r="I135" s="299">
        <f t="shared" si="35"/>
        <v>27908.614313776445</v>
      </c>
      <c r="J135" s="160">
        <f t="shared" si="30"/>
        <v>0</v>
      </c>
      <c r="K135" s="160"/>
      <c r="L135" s="316"/>
      <c r="M135" s="160">
        <f t="shared" si="31"/>
        <v>0</v>
      </c>
      <c r="N135" s="316"/>
      <c r="O135" s="160">
        <f t="shared" si="32"/>
        <v>0</v>
      </c>
      <c r="P135" s="160">
        <f t="shared" si="33"/>
        <v>0</v>
      </c>
      <c r="Q135" s="1"/>
      <c r="R135" s="1"/>
      <c r="S135" s="1"/>
      <c r="T135" s="1"/>
      <c r="U135" s="1"/>
    </row>
    <row r="136" spans="2:21">
      <c r="B136" t="str">
        <f t="shared" si="21"/>
        <v/>
      </c>
      <c r="C136" s="155">
        <f>IF(D94="","-",+C135+1)</f>
        <v>2046</v>
      </c>
      <c r="D136" s="156">
        <f>IF(F135+SUM(E$100:E135)=D$93,F135,D$93-SUM(E$100:E135))</f>
        <v>63861.12280144258</v>
      </c>
      <c r="E136" s="162">
        <f>IF(+J97&lt;F135,J97,D136)</f>
        <v>20106.055555555555</v>
      </c>
      <c r="F136" s="161">
        <f t="shared" si="28"/>
        <v>43755.067245887025</v>
      </c>
      <c r="G136" s="161">
        <f t="shared" si="29"/>
        <v>53808.095023664806</v>
      </c>
      <c r="H136" s="165">
        <f t="shared" si="34"/>
        <v>25786.169847609781</v>
      </c>
      <c r="I136" s="299">
        <f t="shared" si="35"/>
        <v>25786.169847609781</v>
      </c>
      <c r="J136" s="160">
        <f t="shared" si="30"/>
        <v>0</v>
      </c>
      <c r="K136" s="160"/>
      <c r="L136" s="316"/>
      <c r="M136" s="160">
        <f t="shared" si="31"/>
        <v>0</v>
      </c>
      <c r="N136" s="316"/>
      <c r="O136" s="160">
        <f t="shared" si="32"/>
        <v>0</v>
      </c>
      <c r="P136" s="160">
        <f t="shared" si="33"/>
        <v>0</v>
      </c>
      <c r="Q136" s="1"/>
      <c r="R136" s="1"/>
      <c r="S136" s="1"/>
      <c r="T136" s="1"/>
      <c r="U136" s="1"/>
    </row>
    <row r="137" spans="2:21">
      <c r="B137" t="str">
        <f t="shared" si="21"/>
        <v/>
      </c>
      <c r="C137" s="155">
        <f>IF(D94="","-",+C136+1)</f>
        <v>2047</v>
      </c>
      <c r="D137" s="156">
        <f>IF(F136+SUM(E$100:E136)=D$93,F136,D$93-SUM(E$100:E136))</f>
        <v>43755.067245887025</v>
      </c>
      <c r="E137" s="162">
        <f>IF(+J97&lt;F136,J97,D137)</f>
        <v>20106.055555555555</v>
      </c>
      <c r="F137" s="161">
        <f t="shared" si="28"/>
        <v>23649.01169033147</v>
      </c>
      <c r="G137" s="161">
        <f t="shared" si="29"/>
        <v>33702.039468109244</v>
      </c>
      <c r="H137" s="165">
        <f t="shared" si="34"/>
        <v>23663.725381443117</v>
      </c>
      <c r="I137" s="299">
        <f t="shared" si="35"/>
        <v>23663.725381443117</v>
      </c>
      <c r="J137" s="160">
        <f t="shared" si="30"/>
        <v>0</v>
      </c>
      <c r="K137" s="160"/>
      <c r="L137" s="316"/>
      <c r="M137" s="160">
        <f t="shared" si="31"/>
        <v>0</v>
      </c>
      <c r="N137" s="316"/>
      <c r="O137" s="160">
        <f t="shared" si="32"/>
        <v>0</v>
      </c>
      <c r="P137" s="160">
        <f t="shared" si="33"/>
        <v>0</v>
      </c>
      <c r="Q137" s="1"/>
      <c r="R137" s="1"/>
      <c r="S137" s="1"/>
      <c r="T137" s="1"/>
      <c r="U137" s="1"/>
    </row>
    <row r="138" spans="2:21">
      <c r="B138" t="str">
        <f t="shared" si="21"/>
        <v/>
      </c>
      <c r="C138" s="155">
        <f>IF(D94="","-",+C137+1)</f>
        <v>2048</v>
      </c>
      <c r="D138" s="156">
        <f>IF(F137+SUM(E$100:E137)=D$93,F137,D$93-SUM(E$100:E137))</f>
        <v>23649.01169033147</v>
      </c>
      <c r="E138" s="162">
        <f>IF(+J97&lt;F137,J97,D138)</f>
        <v>20106.055555555555</v>
      </c>
      <c r="F138" s="161">
        <f t="shared" si="28"/>
        <v>3542.9561347759154</v>
      </c>
      <c r="G138" s="161">
        <f t="shared" si="29"/>
        <v>13595.983912553693</v>
      </c>
      <c r="H138" s="165">
        <f t="shared" si="34"/>
        <v>21541.280915276453</v>
      </c>
      <c r="I138" s="299">
        <f t="shared" si="35"/>
        <v>21541.280915276453</v>
      </c>
      <c r="J138" s="160">
        <f t="shared" si="30"/>
        <v>0</v>
      </c>
      <c r="K138" s="160"/>
      <c r="L138" s="316"/>
      <c r="M138" s="160">
        <f t="shared" si="31"/>
        <v>0</v>
      </c>
      <c r="N138" s="316"/>
      <c r="O138" s="160">
        <f t="shared" si="32"/>
        <v>0</v>
      </c>
      <c r="P138" s="160">
        <f t="shared" si="33"/>
        <v>0</v>
      </c>
      <c r="Q138" s="1"/>
      <c r="R138" s="1"/>
      <c r="S138" s="1"/>
      <c r="T138" s="1"/>
      <c r="U138" s="1"/>
    </row>
    <row r="139" spans="2:21">
      <c r="B139" t="str">
        <f t="shared" si="21"/>
        <v/>
      </c>
      <c r="C139" s="155">
        <f>IF(D94="","-",+C138+1)</f>
        <v>2049</v>
      </c>
      <c r="D139" s="156">
        <f>IF(F138+SUM(E$100:E138)=D$93,F138,D$93-SUM(E$100:E138))</f>
        <v>3542.9561347759154</v>
      </c>
      <c r="E139" s="162">
        <f>IF(+J97&lt;F138,J97,D139)</f>
        <v>3542.9561347759154</v>
      </c>
      <c r="F139" s="161">
        <f t="shared" si="28"/>
        <v>0</v>
      </c>
      <c r="G139" s="161">
        <f t="shared" si="29"/>
        <v>1771.4780673879577</v>
      </c>
      <c r="H139" s="165">
        <f t="shared" si="34"/>
        <v>3729.9576980946981</v>
      </c>
      <c r="I139" s="299">
        <f t="shared" si="35"/>
        <v>3729.9576980946981</v>
      </c>
      <c r="J139" s="160">
        <f t="shared" si="30"/>
        <v>0</v>
      </c>
      <c r="K139" s="160"/>
      <c r="L139" s="316"/>
      <c r="M139" s="160">
        <f t="shared" si="31"/>
        <v>0</v>
      </c>
      <c r="N139" s="316"/>
      <c r="O139" s="160">
        <f t="shared" si="32"/>
        <v>0</v>
      </c>
      <c r="P139" s="160">
        <f t="shared" si="33"/>
        <v>0</v>
      </c>
      <c r="Q139" s="1"/>
      <c r="R139" s="1"/>
      <c r="S139" s="1"/>
      <c r="T139" s="1"/>
      <c r="U139" s="1"/>
    </row>
    <row r="140" spans="2:21">
      <c r="B140" t="str">
        <f t="shared" si="21"/>
        <v/>
      </c>
      <c r="C140" s="155">
        <f>IF(D94="","-",+C139+1)</f>
        <v>2050</v>
      </c>
      <c r="D140" s="156">
        <f>IF(F139+SUM(E$100:E139)=D$93,F139,D$93-SUM(E$100:E139))</f>
        <v>0</v>
      </c>
      <c r="E140" s="162">
        <f>IF(+J97&lt;F139,J97,D140)</f>
        <v>0</v>
      </c>
      <c r="F140" s="161">
        <f t="shared" si="28"/>
        <v>0</v>
      </c>
      <c r="G140" s="161">
        <f t="shared" si="29"/>
        <v>0</v>
      </c>
      <c r="H140" s="165">
        <f t="shared" si="34"/>
        <v>0</v>
      </c>
      <c r="I140" s="299">
        <f t="shared" si="35"/>
        <v>0</v>
      </c>
      <c r="J140" s="160">
        <f t="shared" si="30"/>
        <v>0</v>
      </c>
      <c r="K140" s="160"/>
      <c r="L140" s="316"/>
      <c r="M140" s="160">
        <f t="shared" si="31"/>
        <v>0</v>
      </c>
      <c r="N140" s="316"/>
      <c r="O140" s="160">
        <f t="shared" si="32"/>
        <v>0</v>
      </c>
      <c r="P140" s="160">
        <f t="shared" si="33"/>
        <v>0</v>
      </c>
      <c r="Q140" s="1"/>
      <c r="R140" s="1"/>
      <c r="S140" s="1"/>
      <c r="T140" s="1"/>
      <c r="U140" s="1"/>
    </row>
    <row r="141" spans="2:21">
      <c r="B141" t="str">
        <f t="shared" si="21"/>
        <v/>
      </c>
      <c r="C141" s="155">
        <f>IF(D94="","-",+C140+1)</f>
        <v>2051</v>
      </c>
      <c r="D141" s="156">
        <f>IF(F140+SUM(E$100:E140)=D$93,F140,D$93-SUM(E$100:E140))</f>
        <v>0</v>
      </c>
      <c r="E141" s="162">
        <f>IF(+J97&lt;F140,J97,D141)</f>
        <v>0</v>
      </c>
      <c r="F141" s="161">
        <f t="shared" si="28"/>
        <v>0</v>
      </c>
      <c r="G141" s="161">
        <f t="shared" si="29"/>
        <v>0</v>
      </c>
      <c r="H141" s="165">
        <f t="shared" si="34"/>
        <v>0</v>
      </c>
      <c r="I141" s="299">
        <f t="shared" si="35"/>
        <v>0</v>
      </c>
      <c r="J141" s="160">
        <f t="shared" si="30"/>
        <v>0</v>
      </c>
      <c r="K141" s="160"/>
      <c r="L141" s="316"/>
      <c r="M141" s="160">
        <f t="shared" si="31"/>
        <v>0</v>
      </c>
      <c r="N141" s="316"/>
      <c r="O141" s="160">
        <f t="shared" si="32"/>
        <v>0</v>
      </c>
      <c r="P141" s="160">
        <f t="shared" si="33"/>
        <v>0</v>
      </c>
      <c r="Q141" s="1"/>
      <c r="R141" s="1"/>
      <c r="S141" s="1"/>
      <c r="T141" s="1"/>
      <c r="U141" s="1"/>
    </row>
    <row r="142" spans="2:21">
      <c r="B142" t="str">
        <f t="shared" si="21"/>
        <v/>
      </c>
      <c r="C142" s="155">
        <f>IF(D94="","-",+C141+1)</f>
        <v>2052</v>
      </c>
      <c r="D142" s="156">
        <f>IF(F141+SUM(E$100:E141)=D$93,F141,D$93-SUM(E$100:E141))</f>
        <v>0</v>
      </c>
      <c r="E142" s="162">
        <f>IF(+J97&lt;F141,J97,D142)</f>
        <v>0</v>
      </c>
      <c r="F142" s="161">
        <f t="shared" si="28"/>
        <v>0</v>
      </c>
      <c r="G142" s="161">
        <f t="shared" si="29"/>
        <v>0</v>
      </c>
      <c r="H142" s="165">
        <f t="shared" si="34"/>
        <v>0</v>
      </c>
      <c r="I142" s="299">
        <f t="shared" si="35"/>
        <v>0</v>
      </c>
      <c r="J142" s="160">
        <f t="shared" si="30"/>
        <v>0</v>
      </c>
      <c r="K142" s="160"/>
      <c r="L142" s="316"/>
      <c r="M142" s="160">
        <f t="shared" si="31"/>
        <v>0</v>
      </c>
      <c r="N142" s="316"/>
      <c r="O142" s="160">
        <f t="shared" si="32"/>
        <v>0</v>
      </c>
      <c r="P142" s="160">
        <f t="shared" si="33"/>
        <v>0</v>
      </c>
      <c r="Q142" s="1"/>
      <c r="R142" s="1"/>
      <c r="S142" s="1"/>
      <c r="T142" s="1"/>
      <c r="U142" s="1"/>
    </row>
    <row r="143" spans="2:21">
      <c r="B143" t="str">
        <f t="shared" si="21"/>
        <v/>
      </c>
      <c r="C143" s="155">
        <f>IF(D94="","-",+C142+1)</f>
        <v>2053</v>
      </c>
      <c r="D143" s="156">
        <f>IF(F142+SUM(E$100:E142)=D$93,F142,D$93-SUM(E$100:E142))</f>
        <v>0</v>
      </c>
      <c r="E143" s="162">
        <f>IF(+J97&lt;F142,J97,D143)</f>
        <v>0</v>
      </c>
      <c r="F143" s="161">
        <f t="shared" si="28"/>
        <v>0</v>
      </c>
      <c r="G143" s="161">
        <f t="shared" si="29"/>
        <v>0</v>
      </c>
      <c r="H143" s="165">
        <f t="shared" si="34"/>
        <v>0</v>
      </c>
      <c r="I143" s="299">
        <f t="shared" si="35"/>
        <v>0</v>
      </c>
      <c r="J143" s="160">
        <f t="shared" si="30"/>
        <v>0</v>
      </c>
      <c r="K143" s="160"/>
      <c r="L143" s="316"/>
      <c r="M143" s="160">
        <f t="shared" si="31"/>
        <v>0</v>
      </c>
      <c r="N143" s="316"/>
      <c r="O143" s="160">
        <f t="shared" si="32"/>
        <v>0</v>
      </c>
      <c r="P143" s="160">
        <f t="shared" si="33"/>
        <v>0</v>
      </c>
      <c r="Q143" s="1"/>
      <c r="R143" s="1"/>
      <c r="S143" s="1"/>
      <c r="T143" s="1"/>
      <c r="U143" s="1"/>
    </row>
    <row r="144" spans="2:21">
      <c r="B144" t="str">
        <f t="shared" si="21"/>
        <v/>
      </c>
      <c r="C144" s="155">
        <f>IF(D94="","-",+C143+1)</f>
        <v>2054</v>
      </c>
      <c r="D144" s="156">
        <f>IF(F143+SUM(E$100:E143)=D$93,F143,D$93-SUM(E$100:E143))</f>
        <v>0</v>
      </c>
      <c r="E144" s="162">
        <f>IF(+J97&lt;F143,J97,D144)</f>
        <v>0</v>
      </c>
      <c r="F144" s="161">
        <f t="shared" si="28"/>
        <v>0</v>
      </c>
      <c r="G144" s="161">
        <f t="shared" si="29"/>
        <v>0</v>
      </c>
      <c r="H144" s="165">
        <f t="shared" si="34"/>
        <v>0</v>
      </c>
      <c r="I144" s="299">
        <f t="shared" si="35"/>
        <v>0</v>
      </c>
      <c r="J144" s="160">
        <f t="shared" si="30"/>
        <v>0</v>
      </c>
      <c r="K144" s="160"/>
      <c r="L144" s="316"/>
      <c r="M144" s="160">
        <f t="shared" si="31"/>
        <v>0</v>
      </c>
      <c r="N144" s="316"/>
      <c r="O144" s="160">
        <f t="shared" si="32"/>
        <v>0</v>
      </c>
      <c r="P144" s="160">
        <f t="shared" si="33"/>
        <v>0</v>
      </c>
      <c r="Q144" s="1"/>
      <c r="R144" s="1"/>
      <c r="S144" s="1"/>
      <c r="T144" s="1"/>
      <c r="U144" s="1"/>
    </row>
    <row r="145" spans="2:21">
      <c r="B145" t="str">
        <f t="shared" si="21"/>
        <v/>
      </c>
      <c r="C145" s="155">
        <f>IF(D94="","-",+C144+1)</f>
        <v>2055</v>
      </c>
      <c r="D145" s="156">
        <f>IF(F144+SUM(E$100:E144)=D$93,F144,D$93-SUM(E$100:E144))</f>
        <v>0</v>
      </c>
      <c r="E145" s="162">
        <f>IF(+J97&lt;F144,J97,D145)</f>
        <v>0</v>
      </c>
      <c r="F145" s="161">
        <f t="shared" si="28"/>
        <v>0</v>
      </c>
      <c r="G145" s="161">
        <f t="shared" si="29"/>
        <v>0</v>
      </c>
      <c r="H145" s="165">
        <f t="shared" si="34"/>
        <v>0</v>
      </c>
      <c r="I145" s="299">
        <f t="shared" si="35"/>
        <v>0</v>
      </c>
      <c r="J145" s="160">
        <f t="shared" si="30"/>
        <v>0</v>
      </c>
      <c r="K145" s="160"/>
      <c r="L145" s="316"/>
      <c r="M145" s="160">
        <f t="shared" si="31"/>
        <v>0</v>
      </c>
      <c r="N145" s="316"/>
      <c r="O145" s="160">
        <f t="shared" si="32"/>
        <v>0</v>
      </c>
      <c r="P145" s="160">
        <f t="shared" si="33"/>
        <v>0</v>
      </c>
      <c r="Q145" s="1"/>
      <c r="R145" s="1"/>
      <c r="S145" s="1"/>
      <c r="T145" s="1"/>
      <c r="U145" s="1"/>
    </row>
    <row r="146" spans="2:21">
      <c r="B146" t="str">
        <f t="shared" si="21"/>
        <v/>
      </c>
      <c r="C146" s="155">
        <f>IF(D94="","-",+C145+1)</f>
        <v>2056</v>
      </c>
      <c r="D146" s="156">
        <f>IF(F145+SUM(E$100:E145)=D$93,F145,D$93-SUM(E$100:E145))</f>
        <v>0</v>
      </c>
      <c r="E146" s="162">
        <f>IF(+J97&lt;F145,J97,D146)</f>
        <v>0</v>
      </c>
      <c r="F146" s="161">
        <f t="shared" si="28"/>
        <v>0</v>
      </c>
      <c r="G146" s="161">
        <f t="shared" si="29"/>
        <v>0</v>
      </c>
      <c r="H146" s="165">
        <f t="shared" si="34"/>
        <v>0</v>
      </c>
      <c r="I146" s="299">
        <f t="shared" si="35"/>
        <v>0</v>
      </c>
      <c r="J146" s="160">
        <f t="shared" si="30"/>
        <v>0</v>
      </c>
      <c r="K146" s="160"/>
      <c r="L146" s="316"/>
      <c r="M146" s="160">
        <f t="shared" si="31"/>
        <v>0</v>
      </c>
      <c r="N146" s="316"/>
      <c r="O146" s="160">
        <f t="shared" si="32"/>
        <v>0</v>
      </c>
      <c r="P146" s="160">
        <f t="shared" si="33"/>
        <v>0</v>
      </c>
      <c r="Q146" s="1"/>
      <c r="R146" s="1"/>
      <c r="S146" s="1"/>
      <c r="T146" s="1"/>
      <c r="U146" s="1"/>
    </row>
    <row r="147" spans="2:21">
      <c r="B147" t="str">
        <f t="shared" si="21"/>
        <v/>
      </c>
      <c r="C147" s="155">
        <f>IF(D94="","-",+C146+1)</f>
        <v>2057</v>
      </c>
      <c r="D147" s="156">
        <f>IF(F146+SUM(E$100:E146)=D$93,F146,D$93-SUM(E$100:E146))</f>
        <v>0</v>
      </c>
      <c r="E147" s="162">
        <f>IF(+J97&lt;F146,J97,D147)</f>
        <v>0</v>
      </c>
      <c r="F147" s="161">
        <f t="shared" si="28"/>
        <v>0</v>
      </c>
      <c r="G147" s="161">
        <f t="shared" si="29"/>
        <v>0</v>
      </c>
      <c r="H147" s="165">
        <f t="shared" si="34"/>
        <v>0</v>
      </c>
      <c r="I147" s="299">
        <f t="shared" si="35"/>
        <v>0</v>
      </c>
      <c r="J147" s="160">
        <f t="shared" si="30"/>
        <v>0</v>
      </c>
      <c r="K147" s="160"/>
      <c r="L147" s="316"/>
      <c r="M147" s="160">
        <f t="shared" si="31"/>
        <v>0</v>
      </c>
      <c r="N147" s="316"/>
      <c r="O147" s="160">
        <f t="shared" si="32"/>
        <v>0</v>
      </c>
      <c r="P147" s="160">
        <f t="shared" si="33"/>
        <v>0</v>
      </c>
      <c r="Q147" s="1"/>
      <c r="R147" s="1"/>
      <c r="S147" s="1"/>
      <c r="T147" s="1"/>
      <c r="U147" s="1"/>
    </row>
    <row r="148" spans="2:21">
      <c r="B148" t="str">
        <f t="shared" si="21"/>
        <v/>
      </c>
      <c r="C148" s="155">
        <f>IF(D94="","-",+C147+1)</f>
        <v>2058</v>
      </c>
      <c r="D148" s="156">
        <f>IF(F147+SUM(E$100:E147)=D$93,F147,D$93-SUM(E$100:E147))</f>
        <v>0</v>
      </c>
      <c r="E148" s="162">
        <f>IF(+J97&lt;F147,J97,D148)</f>
        <v>0</v>
      </c>
      <c r="F148" s="161">
        <f t="shared" si="28"/>
        <v>0</v>
      </c>
      <c r="G148" s="161">
        <f t="shared" si="29"/>
        <v>0</v>
      </c>
      <c r="H148" s="165">
        <f t="shared" si="34"/>
        <v>0</v>
      </c>
      <c r="I148" s="299">
        <f t="shared" si="35"/>
        <v>0</v>
      </c>
      <c r="J148" s="160">
        <f t="shared" si="30"/>
        <v>0</v>
      </c>
      <c r="K148" s="160"/>
      <c r="L148" s="316"/>
      <c r="M148" s="160">
        <f t="shared" si="31"/>
        <v>0</v>
      </c>
      <c r="N148" s="316"/>
      <c r="O148" s="160">
        <f t="shared" si="32"/>
        <v>0</v>
      </c>
      <c r="P148" s="160">
        <f t="shared" si="33"/>
        <v>0</v>
      </c>
      <c r="Q148" s="1"/>
      <c r="R148" s="1"/>
      <c r="S148" s="1"/>
      <c r="T148" s="1"/>
      <c r="U148" s="1"/>
    </row>
    <row r="149" spans="2:21">
      <c r="B149" t="str">
        <f t="shared" si="21"/>
        <v/>
      </c>
      <c r="C149" s="155">
        <f>IF(D94="","-",+C148+1)</f>
        <v>2059</v>
      </c>
      <c r="D149" s="156">
        <f>IF(F148+SUM(E$100:E148)=D$93,F148,D$93-SUM(E$100:E148))</f>
        <v>0</v>
      </c>
      <c r="E149" s="162">
        <f>IF(+J97&lt;F148,J97,D149)</f>
        <v>0</v>
      </c>
      <c r="F149" s="161">
        <f t="shared" si="28"/>
        <v>0</v>
      </c>
      <c r="G149" s="161">
        <f t="shared" si="29"/>
        <v>0</v>
      </c>
      <c r="H149" s="165">
        <f t="shared" si="34"/>
        <v>0</v>
      </c>
      <c r="I149" s="299">
        <f t="shared" si="35"/>
        <v>0</v>
      </c>
      <c r="J149" s="160">
        <f t="shared" si="30"/>
        <v>0</v>
      </c>
      <c r="K149" s="160"/>
      <c r="L149" s="316"/>
      <c r="M149" s="160">
        <f t="shared" si="31"/>
        <v>0</v>
      </c>
      <c r="N149" s="316"/>
      <c r="O149" s="160">
        <f t="shared" si="32"/>
        <v>0</v>
      </c>
      <c r="P149" s="160">
        <f t="shared" si="33"/>
        <v>0</v>
      </c>
      <c r="Q149" s="1"/>
      <c r="R149" s="1"/>
      <c r="S149" s="1"/>
      <c r="T149" s="1"/>
      <c r="U149" s="1"/>
    </row>
    <row r="150" spans="2:21">
      <c r="B150" t="str">
        <f t="shared" si="21"/>
        <v/>
      </c>
      <c r="C150" s="155">
        <f>IF(D94="","-",+C149+1)</f>
        <v>2060</v>
      </c>
      <c r="D150" s="156">
        <f>IF(F149+SUM(E$100:E149)=D$93,F149,D$93-SUM(E$100:E149))</f>
        <v>0</v>
      </c>
      <c r="E150" s="162">
        <f>IF(+J97&lt;F149,J97,D150)</f>
        <v>0</v>
      </c>
      <c r="F150" s="161">
        <f t="shared" si="28"/>
        <v>0</v>
      </c>
      <c r="G150" s="161">
        <f t="shared" si="29"/>
        <v>0</v>
      </c>
      <c r="H150" s="165">
        <f t="shared" si="34"/>
        <v>0</v>
      </c>
      <c r="I150" s="299">
        <f t="shared" si="35"/>
        <v>0</v>
      </c>
      <c r="J150" s="160">
        <f t="shared" si="30"/>
        <v>0</v>
      </c>
      <c r="K150" s="160"/>
      <c r="L150" s="316"/>
      <c r="M150" s="160">
        <f t="shared" si="31"/>
        <v>0</v>
      </c>
      <c r="N150" s="316"/>
      <c r="O150" s="160">
        <f t="shared" si="32"/>
        <v>0</v>
      </c>
      <c r="P150" s="160">
        <f t="shared" si="33"/>
        <v>0</v>
      </c>
      <c r="Q150" s="1"/>
      <c r="R150" s="1"/>
      <c r="S150" s="1"/>
      <c r="T150" s="1"/>
      <c r="U150" s="1"/>
    </row>
    <row r="151" spans="2:21">
      <c r="B151" t="str">
        <f t="shared" si="21"/>
        <v/>
      </c>
      <c r="C151" s="155">
        <f>IF(D94="","-",+C150+1)</f>
        <v>2061</v>
      </c>
      <c r="D151" s="156">
        <f>IF(F150+SUM(E$100:E150)=D$93,F150,D$93-SUM(E$100:E150))</f>
        <v>0</v>
      </c>
      <c r="E151" s="162">
        <f>IF(+J97&lt;F150,J97,D151)</f>
        <v>0</v>
      </c>
      <c r="F151" s="161">
        <f t="shared" si="28"/>
        <v>0</v>
      </c>
      <c r="G151" s="161">
        <f t="shared" si="29"/>
        <v>0</v>
      </c>
      <c r="H151" s="165">
        <f t="shared" si="34"/>
        <v>0</v>
      </c>
      <c r="I151" s="299">
        <f t="shared" si="35"/>
        <v>0</v>
      </c>
      <c r="J151" s="160">
        <f t="shared" si="30"/>
        <v>0</v>
      </c>
      <c r="K151" s="160"/>
      <c r="L151" s="316"/>
      <c r="M151" s="160">
        <f t="shared" si="31"/>
        <v>0</v>
      </c>
      <c r="N151" s="316"/>
      <c r="O151" s="160">
        <f t="shared" si="32"/>
        <v>0</v>
      </c>
      <c r="P151" s="160">
        <f t="shared" si="33"/>
        <v>0</v>
      </c>
      <c r="Q151" s="1"/>
      <c r="R151" s="1"/>
      <c r="S151" s="1"/>
      <c r="T151" s="1"/>
      <c r="U151" s="1"/>
    </row>
    <row r="152" spans="2:21">
      <c r="B152" t="str">
        <f t="shared" si="21"/>
        <v/>
      </c>
      <c r="C152" s="155">
        <f>IF(D94="","-",+C151+1)</f>
        <v>2062</v>
      </c>
      <c r="D152" s="156">
        <f>IF(F151+SUM(E$100:E151)=D$93,F151,D$93-SUM(E$100:E151))</f>
        <v>0</v>
      </c>
      <c r="E152" s="162">
        <f>IF(+J97&lt;F151,J97,D152)</f>
        <v>0</v>
      </c>
      <c r="F152" s="161">
        <f t="shared" si="28"/>
        <v>0</v>
      </c>
      <c r="G152" s="161">
        <f t="shared" si="29"/>
        <v>0</v>
      </c>
      <c r="H152" s="165">
        <f t="shared" si="34"/>
        <v>0</v>
      </c>
      <c r="I152" s="299">
        <f t="shared" si="35"/>
        <v>0</v>
      </c>
      <c r="J152" s="160">
        <f t="shared" si="30"/>
        <v>0</v>
      </c>
      <c r="K152" s="160"/>
      <c r="L152" s="316"/>
      <c r="M152" s="160">
        <f t="shared" si="31"/>
        <v>0</v>
      </c>
      <c r="N152" s="316"/>
      <c r="O152" s="160">
        <f t="shared" si="32"/>
        <v>0</v>
      </c>
      <c r="P152" s="160">
        <f t="shared" si="33"/>
        <v>0</v>
      </c>
      <c r="Q152" s="1"/>
      <c r="R152" s="1"/>
      <c r="S152" s="1"/>
      <c r="T152" s="1"/>
      <c r="U152" s="1"/>
    </row>
    <row r="153" spans="2:21">
      <c r="B153" t="str">
        <f t="shared" si="21"/>
        <v/>
      </c>
      <c r="C153" s="155">
        <f>IF(D94="","-",+C152+1)</f>
        <v>2063</v>
      </c>
      <c r="D153" s="156">
        <f>IF(F152+SUM(E$100:E152)=D$93,F152,D$93-SUM(E$100:E152))</f>
        <v>0</v>
      </c>
      <c r="E153" s="162">
        <f>IF(+J97&lt;F152,J97,D153)</f>
        <v>0</v>
      </c>
      <c r="F153" s="161">
        <f t="shared" si="28"/>
        <v>0</v>
      </c>
      <c r="G153" s="161">
        <f t="shared" si="29"/>
        <v>0</v>
      </c>
      <c r="H153" s="165">
        <f t="shared" si="34"/>
        <v>0</v>
      </c>
      <c r="I153" s="299">
        <f t="shared" si="35"/>
        <v>0</v>
      </c>
      <c r="J153" s="160">
        <f t="shared" si="30"/>
        <v>0</v>
      </c>
      <c r="K153" s="160"/>
      <c r="L153" s="316"/>
      <c r="M153" s="160">
        <f t="shared" si="31"/>
        <v>0</v>
      </c>
      <c r="N153" s="316"/>
      <c r="O153" s="160">
        <f t="shared" si="32"/>
        <v>0</v>
      </c>
      <c r="P153" s="160">
        <f t="shared" si="33"/>
        <v>0</v>
      </c>
      <c r="Q153" s="1"/>
      <c r="R153" s="1"/>
      <c r="S153" s="1"/>
      <c r="T153" s="1"/>
      <c r="U153" s="1"/>
    </row>
    <row r="154" spans="2:21">
      <c r="B154" t="str">
        <f t="shared" si="21"/>
        <v/>
      </c>
      <c r="C154" s="155">
        <f>IF(D94="","-",+C153+1)</f>
        <v>2064</v>
      </c>
      <c r="D154" s="156">
        <f>IF(F153+SUM(E$100:E153)=D$93,F153,D$93-SUM(E$100:E153))</f>
        <v>0</v>
      </c>
      <c r="E154" s="162">
        <f>IF(+J97&lt;F153,J97,D154)</f>
        <v>0</v>
      </c>
      <c r="F154" s="161">
        <f t="shared" si="28"/>
        <v>0</v>
      </c>
      <c r="G154" s="161">
        <f t="shared" si="29"/>
        <v>0</v>
      </c>
      <c r="H154" s="165">
        <f t="shared" si="34"/>
        <v>0</v>
      </c>
      <c r="I154" s="299">
        <f t="shared" si="35"/>
        <v>0</v>
      </c>
      <c r="J154" s="160">
        <f t="shared" si="30"/>
        <v>0</v>
      </c>
      <c r="K154" s="160"/>
      <c r="L154" s="316"/>
      <c r="M154" s="160">
        <f t="shared" si="31"/>
        <v>0</v>
      </c>
      <c r="N154" s="316"/>
      <c r="O154" s="160">
        <f t="shared" si="32"/>
        <v>0</v>
      </c>
      <c r="P154" s="160">
        <f t="shared" si="33"/>
        <v>0</v>
      </c>
      <c r="Q154" s="1"/>
      <c r="R154" s="1"/>
      <c r="S154" s="1"/>
      <c r="T154" s="1"/>
      <c r="U154" s="1"/>
    </row>
    <row r="155" spans="2:21" ht="13.5" thickBot="1">
      <c r="B155" t="str">
        <f t="shared" si="21"/>
        <v/>
      </c>
      <c r="C155" s="166">
        <f>IF(D94="","-",+C154+1)</f>
        <v>2065</v>
      </c>
      <c r="D155" s="167">
        <f>IF(F154+SUM(E$100:E154)=D$93,F154,D$93-SUM(E$100:E154))</f>
        <v>0</v>
      </c>
      <c r="E155" s="168">
        <f>IF(+J97&lt;F154,J97,D155)</f>
        <v>0</v>
      </c>
      <c r="F155" s="167">
        <f t="shared" si="28"/>
        <v>0</v>
      </c>
      <c r="G155" s="167">
        <f t="shared" si="29"/>
        <v>0</v>
      </c>
      <c r="H155" s="169">
        <f t="shared" si="34"/>
        <v>0</v>
      </c>
      <c r="I155" s="300">
        <f t="shared" si="35"/>
        <v>0</v>
      </c>
      <c r="J155" s="171">
        <f t="shared" si="30"/>
        <v>0</v>
      </c>
      <c r="K155" s="160"/>
      <c r="L155" s="317"/>
      <c r="M155" s="171">
        <f t="shared" si="31"/>
        <v>0</v>
      </c>
      <c r="N155" s="317"/>
      <c r="O155" s="171">
        <f t="shared" si="32"/>
        <v>0</v>
      </c>
      <c r="P155" s="171">
        <f t="shared" si="33"/>
        <v>0</v>
      </c>
      <c r="Q155" s="1"/>
      <c r="R155" s="1"/>
      <c r="S155" s="1"/>
      <c r="T155" s="1"/>
      <c r="U155" s="1"/>
    </row>
    <row r="156" spans="2:21">
      <c r="C156" s="156" t="s">
        <v>75</v>
      </c>
      <c r="D156" s="112"/>
      <c r="E156" s="112">
        <f>SUM(E100:E155)</f>
        <v>723817.99999999977</v>
      </c>
      <c r="F156" s="112"/>
      <c r="G156" s="112"/>
      <c r="H156" s="112">
        <f>SUM(H100:H155)</f>
        <v>2352989.9848179268</v>
      </c>
      <c r="I156" s="112">
        <f>SUM(I100:I155)</f>
        <v>2352989.9848179268</v>
      </c>
      <c r="J156" s="112">
        <f>SUM(J100:J155)</f>
        <v>0</v>
      </c>
      <c r="K156" s="112"/>
      <c r="L156" s="112"/>
      <c r="M156" s="112"/>
      <c r="N156" s="112"/>
      <c r="O156" s="112"/>
      <c r="P156" s="1"/>
      <c r="Q156" s="1"/>
      <c r="R156" s="1"/>
      <c r="S156" s="1"/>
      <c r="T156" s="1"/>
      <c r="U156" s="1"/>
    </row>
    <row r="157" spans="2:21">
      <c r="D157" s="2"/>
      <c r="E157" s="1"/>
      <c r="F157" s="1"/>
      <c r="G157" s="1"/>
      <c r="H157" s="1"/>
      <c r="I157" s="3"/>
      <c r="J157" s="3"/>
      <c r="K157" s="112"/>
      <c r="L157" s="3"/>
      <c r="M157" s="3"/>
      <c r="N157" s="3"/>
      <c r="O157" s="3"/>
      <c r="P157" s="1"/>
      <c r="Q157" s="1"/>
      <c r="R157" s="1"/>
      <c r="S157" s="1"/>
      <c r="T157" s="1"/>
      <c r="U157" s="1"/>
    </row>
    <row r="158" spans="2:21">
      <c r="C158" s="215" t="s">
        <v>90</v>
      </c>
      <c r="D158" s="2"/>
      <c r="E158" s="1"/>
      <c r="F158" s="1"/>
      <c r="G158" s="1"/>
      <c r="H158" s="1"/>
      <c r="I158" s="3"/>
      <c r="J158" s="3"/>
      <c r="K158" s="112"/>
      <c r="L158" s="3"/>
      <c r="M158" s="3"/>
      <c r="N158" s="3"/>
      <c r="O158" s="3"/>
      <c r="P158" s="1"/>
      <c r="Q158" s="1"/>
      <c r="R158" s="1"/>
      <c r="S158" s="1"/>
      <c r="T158" s="1"/>
      <c r="U158" s="1"/>
    </row>
    <row r="159" spans="2:21">
      <c r="D159" s="2"/>
      <c r="E159" s="1"/>
      <c r="F159" s="1"/>
      <c r="G159" s="1"/>
      <c r="H159" s="1"/>
      <c r="I159" s="3"/>
      <c r="J159" s="3"/>
      <c r="K159" s="112"/>
      <c r="L159" s="3"/>
      <c r="M159" s="3"/>
      <c r="N159" s="3"/>
      <c r="O159" s="3"/>
      <c r="P159" s="1"/>
      <c r="Q159" s="1"/>
      <c r="R159" s="1"/>
      <c r="S159" s="1"/>
      <c r="T159" s="1"/>
      <c r="U159" s="1"/>
    </row>
    <row r="160" spans="2:21">
      <c r="C160" s="172" t="s">
        <v>96</v>
      </c>
      <c r="D160" s="156"/>
      <c r="E160" s="156"/>
      <c r="F160" s="156"/>
      <c r="G160" s="156"/>
      <c r="H160" s="112"/>
      <c r="I160" s="112"/>
      <c r="J160" s="173"/>
      <c r="K160" s="173"/>
      <c r="L160" s="173"/>
      <c r="M160" s="173"/>
      <c r="N160" s="173"/>
      <c r="O160" s="173"/>
      <c r="P160" s="1"/>
      <c r="Q160" s="1"/>
      <c r="R160" s="1"/>
      <c r="S160" s="1"/>
      <c r="T160" s="1"/>
      <c r="U160" s="1"/>
    </row>
    <row r="161" spans="3:21">
      <c r="C161" s="216" t="s">
        <v>76</v>
      </c>
      <c r="D161" s="156"/>
      <c r="E161" s="156"/>
      <c r="F161" s="156"/>
      <c r="G161" s="156"/>
      <c r="H161" s="112"/>
      <c r="I161" s="112"/>
      <c r="J161" s="173"/>
      <c r="K161" s="173"/>
      <c r="L161" s="173"/>
      <c r="M161" s="173"/>
      <c r="N161" s="173"/>
      <c r="O161" s="173"/>
      <c r="P161" s="1"/>
      <c r="Q161" s="1"/>
      <c r="R161" s="1"/>
      <c r="S161" s="1"/>
      <c r="T161" s="1"/>
      <c r="U161" s="1"/>
    </row>
    <row r="162" spans="3:21">
      <c r="C162" s="216" t="s">
        <v>77</v>
      </c>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34" t="s">
        <v>129</v>
      </c>
      <c r="Q163" s="1"/>
      <c r="R163" s="1"/>
      <c r="S163" s="1"/>
      <c r="T163" s="1"/>
      <c r="U163" s="1"/>
    </row>
  </sheetData>
  <phoneticPr fontId="0" type="noConversion"/>
  <conditionalFormatting sqref="C17:C29 C34:C73">
    <cfRule type="cellIs" dxfId="48" priority="2" stopIfTrue="1" operator="equal">
      <formula>$I$10</formula>
    </cfRule>
  </conditionalFormatting>
  <conditionalFormatting sqref="C100:C155">
    <cfRule type="cellIs" dxfId="47" priority="3" stopIfTrue="1" operator="equal">
      <formula>$J$93</formula>
    </cfRule>
  </conditionalFormatting>
  <conditionalFormatting sqref="C30:C33">
    <cfRule type="cellIs" dxfId="46"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U163"/>
  <sheetViews>
    <sheetView view="pageBreakPreview" topLeftCell="A76" zoomScale="85" zoomScaleNormal="100" workbookViewId="0">
      <selection activeCell="D25" sqref="D25:H25"/>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2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t="str">
        <f>"For Calendar Year "&amp;V1-1&amp;" and Projected Year "&amp;V1</f>
        <v xml:space="preserve">For Calendar Year -1 and Projected Year </v>
      </c>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122865.36332508046</v>
      </c>
      <c r="P5" s="1"/>
      <c r="R5" s="1"/>
      <c r="S5" s="1"/>
      <c r="T5" s="1"/>
      <c r="U5" s="1"/>
    </row>
    <row r="6" spans="1:21" ht="15.75">
      <c r="C6" s="8"/>
      <c r="D6" s="2"/>
      <c r="E6" s="1"/>
      <c r="F6" s="1"/>
      <c r="G6" s="1"/>
      <c r="H6" s="119"/>
      <c r="I6" s="119"/>
      <c r="J6" s="120"/>
      <c r="K6" s="121" t="s">
        <v>243</v>
      </c>
      <c r="L6" s="122"/>
      <c r="M6" s="4"/>
      <c r="N6" s="123">
        <f>VLOOKUP(I10,C17:I73,6)</f>
        <v>122865.36332508046</v>
      </c>
      <c r="O6" s="1"/>
      <c r="P6" s="1"/>
      <c r="R6" s="1"/>
      <c r="S6" s="1"/>
      <c r="T6" s="1"/>
      <c r="U6" s="1"/>
    </row>
    <row r="7" spans="1:21" ht="13.5" thickBot="1">
      <c r="C7" s="124" t="s">
        <v>46</v>
      </c>
      <c r="D7" s="258" t="s">
        <v>192</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A9" s="104"/>
      <c r="C9" s="130" t="s">
        <v>48</v>
      </c>
      <c r="D9" s="224" t="s">
        <v>197</v>
      </c>
      <c r="E9" s="131"/>
      <c r="F9" s="131"/>
      <c r="G9" s="131"/>
      <c r="H9" s="131"/>
      <c r="I9" s="132"/>
      <c r="J9" s="133"/>
      <c r="O9" s="134"/>
      <c r="P9" s="4"/>
      <c r="R9" s="1"/>
      <c r="S9" s="1"/>
      <c r="T9" s="1"/>
      <c r="U9" s="1"/>
    </row>
    <row r="10" spans="1:21">
      <c r="C10" s="135" t="s">
        <v>49</v>
      </c>
      <c r="D10" s="136">
        <v>985777.34</v>
      </c>
      <c r="E10" s="63" t="s">
        <v>50</v>
      </c>
      <c r="F10" s="134"/>
      <c r="G10" s="137"/>
      <c r="H10" s="137"/>
      <c r="I10" s="138">
        <f>+OKT.WS.F.BPU.ATRR.Projected!R100</f>
        <v>2018</v>
      </c>
      <c r="J10" s="133"/>
      <c r="K10" s="112" t="s">
        <v>51</v>
      </c>
      <c r="O10" s="4"/>
      <c r="P10" s="4"/>
      <c r="R10" s="1"/>
      <c r="S10" s="1"/>
      <c r="T10" s="1"/>
      <c r="U10" s="1"/>
    </row>
    <row r="11" spans="1:21">
      <c r="C11" s="139" t="s">
        <v>52</v>
      </c>
      <c r="D11" s="140">
        <v>2010</v>
      </c>
      <c r="E11" s="139" t="s">
        <v>53</v>
      </c>
      <c r="F11" s="137"/>
      <c r="G11" s="7"/>
      <c r="H11" s="7"/>
      <c r="I11" s="141">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6</v>
      </c>
      <c r="E12" s="139" t="s">
        <v>55</v>
      </c>
      <c r="F12" s="137"/>
      <c r="G12" s="7"/>
      <c r="H12" s="7"/>
      <c r="I12" s="143">
        <f>OKT.WS.F.BPU.ATRR.Projected!$F$78</f>
        <v>0.11749102697326873</v>
      </c>
      <c r="J12" s="336"/>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24175.777145778226</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IF(D17=F16,"","IU")</f>
        <v>IU</v>
      </c>
      <c r="C17" s="341">
        <f>IF(D11= "","-",D11)</f>
        <v>2010</v>
      </c>
      <c r="D17" s="373">
        <v>1000000</v>
      </c>
      <c r="E17" s="374">
        <v>8649.6050543178571</v>
      </c>
      <c r="F17" s="373">
        <v>991350.39494568214</v>
      </c>
      <c r="G17" s="375">
        <v>128416.51741983544</v>
      </c>
      <c r="H17" s="376">
        <v>128416.51741983544</v>
      </c>
      <c r="I17" s="158">
        <f t="shared" ref="I17:I49" si="0">H17-G17</f>
        <v>0</v>
      </c>
      <c r="J17" s="158"/>
      <c r="K17" s="318">
        <f t="shared" ref="K17:K22" si="1">G17</f>
        <v>128416.51741983544</v>
      </c>
      <c r="L17" s="340">
        <f t="shared" ref="L17:L49" si="2">IF(K17&lt;&gt;0,+G17-K17,0)</f>
        <v>0</v>
      </c>
      <c r="M17" s="318">
        <f t="shared" ref="M17:M22" si="3">H17</f>
        <v>128416.51741983544</v>
      </c>
      <c r="N17" s="159">
        <f t="shared" ref="N17:N49" si="4">IF(M17&lt;&gt;0,+H17-M17,0)</f>
        <v>0</v>
      </c>
      <c r="O17" s="160">
        <f t="shared" ref="O17:O49" si="5">+N17-L17</f>
        <v>0</v>
      </c>
      <c r="P17" s="4"/>
      <c r="R17" s="1"/>
      <c r="S17" s="1"/>
      <c r="T17" s="1"/>
      <c r="U17" s="1"/>
    </row>
    <row r="18" spans="2:21">
      <c r="B18" t="str">
        <f>IF(D18=F17,"","IU")</f>
        <v/>
      </c>
      <c r="C18" s="155">
        <f>IF(D11="","-",+C17+1)</f>
        <v>2011</v>
      </c>
      <c r="D18" s="377">
        <v>991350.39494568214</v>
      </c>
      <c r="E18" s="375">
        <v>16985.402437265064</v>
      </c>
      <c r="F18" s="377">
        <v>974364.99250841711</v>
      </c>
      <c r="G18" s="375">
        <v>143658.66281023776</v>
      </c>
      <c r="H18" s="376">
        <v>143658.66281023776</v>
      </c>
      <c r="I18" s="158">
        <f t="shared" si="0"/>
        <v>0</v>
      </c>
      <c r="J18" s="158"/>
      <c r="K18" s="344">
        <f t="shared" si="1"/>
        <v>143658.66281023776</v>
      </c>
      <c r="L18" s="345">
        <f t="shared" si="2"/>
        <v>0</v>
      </c>
      <c r="M18" s="344">
        <f t="shared" si="3"/>
        <v>143658.66281023776</v>
      </c>
      <c r="N18" s="160">
        <f t="shared" si="4"/>
        <v>0</v>
      </c>
      <c r="O18" s="160">
        <f t="shared" si="5"/>
        <v>0</v>
      </c>
      <c r="P18" s="4"/>
      <c r="R18" s="1"/>
      <c r="S18" s="1"/>
      <c r="T18" s="1"/>
      <c r="U18" s="1"/>
    </row>
    <row r="19" spans="2:21">
      <c r="B19" t="str">
        <f t="shared" ref="B19:B73" si="6">IF(D19=F18,"","IU")</f>
        <v/>
      </c>
      <c r="C19" s="155">
        <f>IF(D11="","-",+C18+1)</f>
        <v>2012</v>
      </c>
      <c r="D19" s="377">
        <v>974364.99250841711</v>
      </c>
      <c r="E19" s="375">
        <v>17053.169324992024</v>
      </c>
      <c r="F19" s="377">
        <v>957311.82318342512</v>
      </c>
      <c r="G19" s="375">
        <v>109574.51640694846</v>
      </c>
      <c r="H19" s="376">
        <v>109574.51640694846</v>
      </c>
      <c r="I19" s="158">
        <v>0</v>
      </c>
      <c r="J19" s="158"/>
      <c r="K19" s="344">
        <f t="shared" si="1"/>
        <v>109574.51640694846</v>
      </c>
      <c r="L19" s="160">
        <f t="shared" si="2"/>
        <v>0</v>
      </c>
      <c r="M19" s="344">
        <f t="shared" si="3"/>
        <v>109574.51640694846</v>
      </c>
      <c r="N19" s="160">
        <f t="shared" si="4"/>
        <v>0</v>
      </c>
      <c r="O19" s="160">
        <f t="shared" si="5"/>
        <v>0</v>
      </c>
      <c r="P19" s="4"/>
      <c r="R19" s="1"/>
      <c r="S19" s="1"/>
      <c r="T19" s="1"/>
      <c r="U19" s="1"/>
    </row>
    <row r="20" spans="2:21">
      <c r="B20" t="str">
        <f t="shared" si="6"/>
        <v>IU</v>
      </c>
      <c r="C20" s="155">
        <f>IF(D11="","-",+C19+1)</f>
        <v>2013</v>
      </c>
      <c r="D20" s="377">
        <v>943089.16318342497</v>
      </c>
      <c r="E20" s="375">
        <v>17053.169324992024</v>
      </c>
      <c r="F20" s="377">
        <v>926035.99385843298</v>
      </c>
      <c r="G20" s="375">
        <v>118214.46332464613</v>
      </c>
      <c r="H20" s="376">
        <v>118214.46332464613</v>
      </c>
      <c r="I20" s="158">
        <v>0</v>
      </c>
      <c r="J20" s="158"/>
      <c r="K20" s="344">
        <f t="shared" si="1"/>
        <v>118214.46332464613</v>
      </c>
      <c r="L20" s="160">
        <f t="shared" ref="L20:L25" si="7">IF(K20&lt;&gt;0,+G20-K20,0)</f>
        <v>0</v>
      </c>
      <c r="M20" s="344">
        <f t="shared" si="3"/>
        <v>118214.46332464613</v>
      </c>
      <c r="N20" s="160">
        <f>IF(M20&lt;&gt;0,+H20-M20,0)</f>
        <v>0</v>
      </c>
      <c r="O20" s="160">
        <f>+N20-L20</f>
        <v>0</v>
      </c>
      <c r="P20" s="4"/>
      <c r="R20" s="1"/>
      <c r="S20" s="1"/>
      <c r="T20" s="1"/>
      <c r="U20" s="1"/>
    </row>
    <row r="21" spans="2:21">
      <c r="B21" t="str">
        <f t="shared" si="6"/>
        <v/>
      </c>
      <c r="C21" s="155">
        <f>IF(D12="","-",+C20+1)</f>
        <v>2014</v>
      </c>
      <c r="D21" s="377">
        <v>926035.99385843298</v>
      </c>
      <c r="E21" s="375">
        <v>17053.169324992024</v>
      </c>
      <c r="F21" s="377">
        <v>908982.82453344099</v>
      </c>
      <c r="G21" s="375">
        <v>117066.12014630614</v>
      </c>
      <c r="H21" s="376">
        <v>117066.12014630614</v>
      </c>
      <c r="I21" s="158">
        <v>0</v>
      </c>
      <c r="J21" s="158"/>
      <c r="K21" s="344">
        <f t="shared" si="1"/>
        <v>117066.12014630614</v>
      </c>
      <c r="L21" s="160">
        <f t="shared" si="7"/>
        <v>0</v>
      </c>
      <c r="M21" s="344">
        <f t="shared" si="3"/>
        <v>117066.12014630614</v>
      </c>
      <c r="N21" s="160">
        <f>IF(M21&lt;&gt;0,+H21-M21,0)</f>
        <v>0</v>
      </c>
      <c r="O21" s="160">
        <f>+N21-L21</f>
        <v>0</v>
      </c>
      <c r="P21" s="4"/>
      <c r="R21" s="1"/>
      <c r="S21" s="1"/>
      <c r="T21" s="1"/>
      <c r="U21" s="1"/>
    </row>
    <row r="22" spans="2:21">
      <c r="B22" t="str">
        <f t="shared" si="6"/>
        <v/>
      </c>
      <c r="C22" s="155">
        <f>IF(D11="","-",+C21+1)</f>
        <v>2015</v>
      </c>
      <c r="D22" s="377">
        <v>908982.82453344099</v>
      </c>
      <c r="E22" s="375">
        <v>17053.169324992024</v>
      </c>
      <c r="F22" s="377">
        <v>891929.655208449</v>
      </c>
      <c r="G22" s="375">
        <v>108980.29004264352</v>
      </c>
      <c r="H22" s="376">
        <v>108980.29004264352</v>
      </c>
      <c r="I22" s="158">
        <v>0</v>
      </c>
      <c r="J22" s="158"/>
      <c r="K22" s="344">
        <f t="shared" si="1"/>
        <v>108980.29004264352</v>
      </c>
      <c r="L22" s="160">
        <f t="shared" si="7"/>
        <v>0</v>
      </c>
      <c r="M22" s="344">
        <f t="shared" si="3"/>
        <v>108980.29004264352</v>
      </c>
      <c r="N22" s="160">
        <f>IF(M22&lt;&gt;0,+H22-M22,0)</f>
        <v>0</v>
      </c>
      <c r="O22" s="160">
        <f>+N22-L22</f>
        <v>0</v>
      </c>
      <c r="P22" s="4"/>
      <c r="R22" s="1"/>
      <c r="S22" s="1"/>
      <c r="T22" s="1"/>
      <c r="U22" s="1"/>
    </row>
    <row r="23" spans="2:21">
      <c r="B23" t="str">
        <f t="shared" si="6"/>
        <v/>
      </c>
      <c r="C23" s="155">
        <f>IF(D11="","-",+C22+1)</f>
        <v>2016</v>
      </c>
      <c r="D23" s="377">
        <v>891929.655208449</v>
      </c>
      <c r="E23" s="375">
        <v>20483.915040786436</v>
      </c>
      <c r="F23" s="377">
        <v>871445.7401676625</v>
      </c>
      <c r="G23" s="375">
        <v>114495.80398935861</v>
      </c>
      <c r="H23" s="376">
        <v>114495.80398935861</v>
      </c>
      <c r="I23" s="158">
        <f t="shared" si="0"/>
        <v>0</v>
      </c>
      <c r="J23" s="158"/>
      <c r="K23" s="344">
        <f>G23</f>
        <v>114495.80398935861</v>
      </c>
      <c r="L23" s="160">
        <f t="shared" si="7"/>
        <v>0</v>
      </c>
      <c r="M23" s="344">
        <f>H23</f>
        <v>114495.80398935861</v>
      </c>
      <c r="N23" s="160">
        <f t="shared" si="4"/>
        <v>0</v>
      </c>
      <c r="O23" s="160">
        <f t="shared" si="5"/>
        <v>0</v>
      </c>
      <c r="P23" s="4"/>
      <c r="R23" s="1"/>
      <c r="S23" s="1"/>
      <c r="T23" s="1"/>
      <c r="U23" s="1"/>
    </row>
    <row r="24" spans="2:21">
      <c r="B24" t="str">
        <f t="shared" si="6"/>
        <v/>
      </c>
      <c r="C24" s="155">
        <f>IF(D11="","-",+C23+1)</f>
        <v>2017</v>
      </c>
      <c r="D24" s="377">
        <v>871445.7401676625</v>
      </c>
      <c r="E24" s="375">
        <v>19382.334130313378</v>
      </c>
      <c r="F24" s="377">
        <v>852063.40603734914</v>
      </c>
      <c r="G24" s="375">
        <v>114123.60807449113</v>
      </c>
      <c r="H24" s="376">
        <v>114123.60807449113</v>
      </c>
      <c r="I24" s="158">
        <f t="shared" si="0"/>
        <v>0</v>
      </c>
      <c r="J24" s="158"/>
      <c r="K24" s="344">
        <f>G24</f>
        <v>114123.60807449113</v>
      </c>
      <c r="L24" s="160">
        <f t="shared" si="7"/>
        <v>0</v>
      </c>
      <c r="M24" s="344">
        <f>H24</f>
        <v>114123.60807449113</v>
      </c>
      <c r="N24" s="160">
        <f>IF(M24&lt;&gt;0,+H24-M24,0)</f>
        <v>0</v>
      </c>
      <c r="O24" s="160">
        <f>+N24-L24</f>
        <v>0</v>
      </c>
      <c r="P24" s="4"/>
      <c r="R24" s="1"/>
      <c r="S24" s="1"/>
      <c r="T24" s="1"/>
      <c r="U24" s="1"/>
    </row>
    <row r="25" spans="2:21">
      <c r="B25" t="str">
        <f t="shared" si="6"/>
        <v/>
      </c>
      <c r="C25" s="155">
        <f>IF(D11="","-",+C24+1)</f>
        <v>2018</v>
      </c>
      <c r="D25" s="377">
        <v>852063.40603734914</v>
      </c>
      <c r="E25" s="375">
        <v>24175.777145778226</v>
      </c>
      <c r="F25" s="377">
        <v>827887.62889157096</v>
      </c>
      <c r="G25" s="375">
        <v>122865.36332508046</v>
      </c>
      <c r="H25" s="376">
        <v>122865.36332508046</v>
      </c>
      <c r="I25" s="158">
        <f t="shared" si="0"/>
        <v>0</v>
      </c>
      <c r="J25" s="158"/>
      <c r="K25" s="344">
        <f>G25</f>
        <v>122865.36332508046</v>
      </c>
      <c r="L25" s="160">
        <f t="shared" si="7"/>
        <v>0</v>
      </c>
      <c r="M25" s="344">
        <f>H25</f>
        <v>122865.36332508046</v>
      </c>
      <c r="N25" s="160">
        <f>IF(M25&lt;&gt;0,+H25-M25,0)</f>
        <v>0</v>
      </c>
      <c r="O25" s="160">
        <f>+N25-L25</f>
        <v>0</v>
      </c>
      <c r="P25" s="4"/>
      <c r="R25" s="1"/>
      <c r="S25" s="1"/>
      <c r="T25" s="1"/>
      <c r="U25" s="1"/>
    </row>
    <row r="26" spans="2:21">
      <c r="B26" t="str">
        <f t="shared" si="6"/>
        <v/>
      </c>
      <c r="C26" s="155">
        <f>IF(D11="","-",+C25+1)</f>
        <v>2019</v>
      </c>
      <c r="D26" s="164">
        <f>IF(F25+SUM(E$17:E25)=D$10,F25,D$10-SUM(E$17:E25))</f>
        <v>827887.62889157096</v>
      </c>
      <c r="E26" s="162">
        <f>IF(+I14&lt;F25,I14,D26)</f>
        <v>24175.777145778226</v>
      </c>
      <c r="F26" s="161">
        <f t="shared" ref="F26:F49" si="8">+D26-E26</f>
        <v>803711.85174579278</v>
      </c>
      <c r="G26" s="163">
        <f t="shared" ref="G26:G73" si="9">(D26+F26)/2*I$12+E26</f>
        <v>120024.92644034608</v>
      </c>
      <c r="H26" s="145">
        <f t="shared" ref="H26:H73" si="10">+(D26+F26)/2*I$13+E26</f>
        <v>120024.92644034608</v>
      </c>
      <c r="I26" s="158">
        <f t="shared" si="0"/>
        <v>0</v>
      </c>
      <c r="J26" s="158"/>
      <c r="K26" s="316"/>
      <c r="L26" s="160">
        <f t="shared" si="2"/>
        <v>0</v>
      </c>
      <c r="M26" s="316"/>
      <c r="N26" s="160">
        <f t="shared" si="4"/>
        <v>0</v>
      </c>
      <c r="O26" s="160">
        <f t="shared" si="5"/>
        <v>0</v>
      </c>
      <c r="P26" s="4"/>
      <c r="R26" s="1"/>
      <c r="S26" s="1"/>
      <c r="T26" s="1"/>
      <c r="U26" s="1"/>
    </row>
    <row r="27" spans="2:21">
      <c r="B27" t="str">
        <f t="shared" si="6"/>
        <v/>
      </c>
      <c r="C27" s="155">
        <f>IF(D11="","-",+C26+1)</f>
        <v>2020</v>
      </c>
      <c r="D27" s="164">
        <f>IF(F26+SUM(E$17:E26)=D$10,F26,D$10-SUM(E$17:E26))</f>
        <v>803711.85174579278</v>
      </c>
      <c r="E27" s="162">
        <f>IF(+I14&lt;F26,I14,D27)</f>
        <v>24175.777145778226</v>
      </c>
      <c r="F27" s="161">
        <f t="shared" si="8"/>
        <v>779536.0746000146</v>
      </c>
      <c r="G27" s="163">
        <f t="shared" si="9"/>
        <v>117184.48955561174</v>
      </c>
      <c r="H27" s="145">
        <f t="shared" si="10"/>
        <v>117184.48955561174</v>
      </c>
      <c r="I27" s="158">
        <f t="shared" si="0"/>
        <v>0</v>
      </c>
      <c r="J27" s="158"/>
      <c r="K27" s="316"/>
      <c r="L27" s="160">
        <f t="shared" si="2"/>
        <v>0</v>
      </c>
      <c r="M27" s="316"/>
      <c r="N27" s="160">
        <f t="shared" si="4"/>
        <v>0</v>
      </c>
      <c r="O27" s="160">
        <f t="shared" si="5"/>
        <v>0</v>
      </c>
      <c r="P27" s="4"/>
      <c r="R27" s="1"/>
      <c r="S27" s="1"/>
      <c r="T27" s="1"/>
      <c r="U27" s="1"/>
    </row>
    <row r="28" spans="2:21">
      <c r="B28" t="str">
        <f t="shared" si="6"/>
        <v/>
      </c>
      <c r="C28" s="155">
        <f>IF(D11="","-",+C27+1)</f>
        <v>2021</v>
      </c>
      <c r="D28" s="164">
        <f>IF(F27+SUM(E$17:E27)=D$10,F27,D$10-SUM(E$17:E27))</f>
        <v>779536.0746000146</v>
      </c>
      <c r="E28" s="162">
        <f>IF(+I14&lt;F27,I14,D28)</f>
        <v>24175.777145778226</v>
      </c>
      <c r="F28" s="161">
        <f t="shared" si="8"/>
        <v>755360.29745423642</v>
      </c>
      <c r="G28" s="163">
        <f t="shared" si="9"/>
        <v>114344.05267087737</v>
      </c>
      <c r="H28" s="145">
        <f t="shared" si="10"/>
        <v>114344.05267087737</v>
      </c>
      <c r="I28" s="158">
        <f t="shared" si="0"/>
        <v>0</v>
      </c>
      <c r="J28" s="158"/>
      <c r="K28" s="316"/>
      <c r="L28" s="160">
        <f t="shared" si="2"/>
        <v>0</v>
      </c>
      <c r="M28" s="316"/>
      <c r="N28" s="160">
        <f t="shared" si="4"/>
        <v>0</v>
      </c>
      <c r="O28" s="160">
        <f t="shared" si="5"/>
        <v>0</v>
      </c>
      <c r="P28" s="4"/>
      <c r="R28" s="1"/>
      <c r="S28" s="1"/>
      <c r="T28" s="1"/>
      <c r="U28" s="1"/>
    </row>
    <row r="29" spans="2:21">
      <c r="B29" t="str">
        <f t="shared" si="6"/>
        <v/>
      </c>
      <c r="C29" s="155">
        <f>IF(D11="","-",+C28+1)</f>
        <v>2022</v>
      </c>
      <c r="D29" s="164">
        <f>IF(F28+SUM(E$17:E28)=D$10,F28,D$10-SUM(E$17:E28))</f>
        <v>755360.29745423642</v>
      </c>
      <c r="E29" s="162">
        <f>IF(+I14&lt;F28,I14,D29)</f>
        <v>24175.777145778226</v>
      </c>
      <c r="F29" s="161">
        <f t="shared" si="8"/>
        <v>731184.52030845825</v>
      </c>
      <c r="G29" s="163">
        <f t="shared" si="9"/>
        <v>111503.61578614303</v>
      </c>
      <c r="H29" s="145">
        <f t="shared" si="10"/>
        <v>111503.61578614303</v>
      </c>
      <c r="I29" s="158">
        <f t="shared" si="0"/>
        <v>0</v>
      </c>
      <c r="J29" s="158"/>
      <c r="K29" s="316"/>
      <c r="L29" s="160">
        <f t="shared" si="2"/>
        <v>0</v>
      </c>
      <c r="M29" s="316"/>
      <c r="N29" s="160">
        <f t="shared" si="4"/>
        <v>0</v>
      </c>
      <c r="O29" s="160">
        <f t="shared" si="5"/>
        <v>0</v>
      </c>
      <c r="P29" s="4"/>
      <c r="R29" s="1"/>
      <c r="S29" s="1"/>
      <c r="T29" s="1"/>
      <c r="U29" s="1"/>
    </row>
    <row r="30" spans="2:21">
      <c r="B30" t="str">
        <f t="shared" si="6"/>
        <v/>
      </c>
      <c r="C30" s="155">
        <f>IF(D11="","-",+C29+1)</f>
        <v>2023</v>
      </c>
      <c r="D30" s="164">
        <f>IF(F29+SUM(E$17:E29)=D$10,F29,D$10-SUM(E$17:E29))</f>
        <v>731184.52030845825</v>
      </c>
      <c r="E30" s="162">
        <f>IF(+I14&lt;F29,I14,D30)</f>
        <v>24175.777145778226</v>
      </c>
      <c r="F30" s="161">
        <f t="shared" si="8"/>
        <v>707008.74316268007</v>
      </c>
      <c r="G30" s="163">
        <f t="shared" si="9"/>
        <v>108663.17890140865</v>
      </c>
      <c r="H30" s="145">
        <f t="shared" si="10"/>
        <v>108663.17890140865</v>
      </c>
      <c r="I30" s="158">
        <f t="shared" si="0"/>
        <v>0</v>
      </c>
      <c r="J30" s="158"/>
      <c r="K30" s="316"/>
      <c r="L30" s="160">
        <f t="shared" si="2"/>
        <v>0</v>
      </c>
      <c r="M30" s="316"/>
      <c r="N30" s="160">
        <f t="shared" si="4"/>
        <v>0</v>
      </c>
      <c r="O30" s="160">
        <f t="shared" si="5"/>
        <v>0</v>
      </c>
      <c r="P30" s="4"/>
      <c r="R30" s="1"/>
      <c r="S30" s="1"/>
      <c r="T30" s="1"/>
      <c r="U30" s="1"/>
    </row>
    <row r="31" spans="2:21">
      <c r="B31" t="str">
        <f t="shared" si="6"/>
        <v/>
      </c>
      <c r="C31" s="155">
        <f>IF(D11="","-",+C30+1)</f>
        <v>2024</v>
      </c>
      <c r="D31" s="164">
        <f>IF(F30+SUM(E$17:E30)=D$10,F30,D$10-SUM(E$17:E30))</f>
        <v>707008.74316268007</v>
      </c>
      <c r="E31" s="162">
        <f>IF(+I14&lt;F30,I14,D31)</f>
        <v>24175.777145778226</v>
      </c>
      <c r="F31" s="161">
        <f t="shared" si="8"/>
        <v>682832.96601690189</v>
      </c>
      <c r="G31" s="163">
        <f t="shared" si="9"/>
        <v>105822.74201667431</v>
      </c>
      <c r="H31" s="145">
        <f t="shared" si="10"/>
        <v>105822.74201667431</v>
      </c>
      <c r="I31" s="158">
        <f t="shared" si="0"/>
        <v>0</v>
      </c>
      <c r="J31" s="158"/>
      <c r="K31" s="316"/>
      <c r="L31" s="160">
        <f t="shared" si="2"/>
        <v>0</v>
      </c>
      <c r="M31" s="316"/>
      <c r="N31" s="160">
        <f t="shared" si="4"/>
        <v>0</v>
      </c>
      <c r="O31" s="160">
        <f t="shared" si="5"/>
        <v>0</v>
      </c>
      <c r="P31" s="4"/>
      <c r="Q31" s="7"/>
      <c r="R31" s="4"/>
      <c r="S31" s="4"/>
      <c r="T31" s="4"/>
      <c r="U31" s="1"/>
    </row>
    <row r="32" spans="2:21">
      <c r="B32" t="str">
        <f t="shared" si="6"/>
        <v/>
      </c>
      <c r="C32" s="155">
        <f>IF(D12="","-",+C31+1)</f>
        <v>2025</v>
      </c>
      <c r="D32" s="164">
        <f>IF(F31+SUM(E$17:E31)=D$10,F31,D$10-SUM(E$17:E31))</f>
        <v>682832.96601690189</v>
      </c>
      <c r="E32" s="162">
        <f>IF(+I14&lt;F31,I14,D32)</f>
        <v>24175.777145778226</v>
      </c>
      <c r="F32" s="161">
        <f>+D32-E32</f>
        <v>658657.18887112371</v>
      </c>
      <c r="G32" s="163">
        <f t="shared" si="9"/>
        <v>102982.30513193994</v>
      </c>
      <c r="H32" s="145">
        <f t="shared" si="10"/>
        <v>102982.30513193994</v>
      </c>
      <c r="I32" s="158">
        <f>H32-G32</f>
        <v>0</v>
      </c>
      <c r="J32" s="158"/>
      <c r="K32" s="316"/>
      <c r="L32" s="160"/>
      <c r="M32" s="316"/>
      <c r="N32" s="160"/>
      <c r="O32" s="160"/>
      <c r="P32" s="4"/>
      <c r="Q32" s="7"/>
      <c r="R32" s="4"/>
      <c r="S32" s="4"/>
      <c r="T32" s="4"/>
      <c r="U32" s="1"/>
    </row>
    <row r="33" spans="2:21">
      <c r="B33" t="str">
        <f t="shared" si="6"/>
        <v/>
      </c>
      <c r="C33" s="155">
        <f>IF(D13="","-",+C32+1)</f>
        <v>2026</v>
      </c>
      <c r="D33" s="164">
        <f>IF(F32+SUM(E$17:E32)=D$10,F32,D$10-SUM(E$17:E32))</f>
        <v>658657.18887112371</v>
      </c>
      <c r="E33" s="162">
        <f>IF(+I14&lt;F31,I14,D33)</f>
        <v>24175.777145778226</v>
      </c>
      <c r="F33" s="161">
        <f t="shared" si="8"/>
        <v>634481.41172534553</v>
      </c>
      <c r="G33" s="163">
        <f t="shared" si="9"/>
        <v>100141.8682472056</v>
      </c>
      <c r="H33" s="145">
        <f t="shared" si="10"/>
        <v>100141.8682472056</v>
      </c>
      <c r="I33" s="158">
        <f t="shared" si="0"/>
        <v>0</v>
      </c>
      <c r="J33" s="158"/>
      <c r="K33" s="316"/>
      <c r="L33" s="160">
        <f t="shared" si="2"/>
        <v>0</v>
      </c>
      <c r="M33" s="316"/>
      <c r="N33" s="160">
        <f t="shared" si="4"/>
        <v>0</v>
      </c>
      <c r="O33" s="160">
        <f t="shared" si="5"/>
        <v>0</v>
      </c>
      <c r="P33" s="4"/>
      <c r="R33" s="1"/>
      <c r="S33" s="1"/>
      <c r="T33" s="1"/>
      <c r="U33" s="1"/>
    </row>
    <row r="34" spans="2:21">
      <c r="B34" t="str">
        <f t="shared" si="6"/>
        <v>IU</v>
      </c>
      <c r="C34" s="422">
        <f>IF(D11="","-",+C33+1)</f>
        <v>2027</v>
      </c>
      <c r="D34" s="437">
        <f>IF(F33+SUM(E$17:E33)=D$10,F33,D$10-SUM(E$17:E33))</f>
        <v>634481.41172534507</v>
      </c>
      <c r="E34" s="424">
        <f>IF(+I14&lt;F33,I14,D34)</f>
        <v>24175.777145778226</v>
      </c>
      <c r="F34" s="423">
        <f t="shared" si="8"/>
        <v>610305.63457956689</v>
      </c>
      <c r="G34" s="425">
        <f t="shared" si="9"/>
        <v>97301.431362471179</v>
      </c>
      <c r="H34" s="426">
        <f t="shared" si="10"/>
        <v>97301.431362471179</v>
      </c>
      <c r="I34" s="427">
        <f t="shared" si="0"/>
        <v>0</v>
      </c>
      <c r="J34" s="427"/>
      <c r="K34" s="428"/>
      <c r="L34" s="429">
        <f t="shared" si="2"/>
        <v>0</v>
      </c>
      <c r="M34" s="428"/>
      <c r="N34" s="429">
        <f t="shared" si="4"/>
        <v>0</v>
      </c>
      <c r="O34" s="429">
        <f t="shared" si="5"/>
        <v>0</v>
      </c>
      <c r="P34" s="430"/>
      <c r="Q34" s="290"/>
      <c r="R34" s="430"/>
      <c r="S34" s="430"/>
      <c r="T34" s="430"/>
      <c r="U34" s="1"/>
    </row>
    <row r="35" spans="2:21">
      <c r="B35" t="str">
        <f t="shared" si="6"/>
        <v/>
      </c>
      <c r="C35" s="155">
        <f>IF(D11="","-",+C34+1)</f>
        <v>2028</v>
      </c>
      <c r="D35" s="164">
        <f>IF(F34+SUM(E$17:E34)=D$10,F34,D$10-SUM(E$17:E34))</f>
        <v>610305.63457956689</v>
      </c>
      <c r="E35" s="162">
        <f>IF(+I14&lt;F34,I14,D35)</f>
        <v>24175.777145778226</v>
      </c>
      <c r="F35" s="161">
        <f t="shared" si="8"/>
        <v>586129.85743378871</v>
      </c>
      <c r="G35" s="163">
        <f t="shared" si="9"/>
        <v>94460.994477736836</v>
      </c>
      <c r="H35" s="145">
        <f t="shared" si="10"/>
        <v>94460.994477736836</v>
      </c>
      <c r="I35" s="158">
        <f t="shared" si="0"/>
        <v>0</v>
      </c>
      <c r="J35" s="158"/>
      <c r="K35" s="316"/>
      <c r="L35" s="160">
        <f t="shared" si="2"/>
        <v>0</v>
      </c>
      <c r="M35" s="316"/>
      <c r="N35" s="160">
        <f t="shared" si="4"/>
        <v>0</v>
      </c>
      <c r="O35" s="160">
        <f t="shared" si="5"/>
        <v>0</v>
      </c>
      <c r="P35" s="4"/>
      <c r="R35" s="1"/>
      <c r="S35" s="1"/>
      <c r="T35" s="1"/>
      <c r="U35" s="1"/>
    </row>
    <row r="36" spans="2:21">
      <c r="B36" t="str">
        <f t="shared" si="6"/>
        <v/>
      </c>
      <c r="C36" s="155">
        <f>IF(D11="","-",+C35+1)</f>
        <v>2029</v>
      </c>
      <c r="D36" s="164">
        <f>IF(F35+SUM(E$17:E35)=D$10,F35,D$10-SUM(E$17:E35))</f>
        <v>586129.85743378871</v>
      </c>
      <c r="E36" s="162">
        <f>IF(+I14&lt;F35,I14,D36)</f>
        <v>24175.777145778226</v>
      </c>
      <c r="F36" s="161">
        <f t="shared" si="8"/>
        <v>561954.08028801053</v>
      </c>
      <c r="G36" s="163">
        <f t="shared" si="9"/>
        <v>91620.557593002464</v>
      </c>
      <c r="H36" s="145">
        <f t="shared" si="10"/>
        <v>91620.557593002464</v>
      </c>
      <c r="I36" s="158">
        <f t="shared" si="0"/>
        <v>0</v>
      </c>
      <c r="J36" s="158"/>
      <c r="K36" s="316"/>
      <c r="L36" s="160">
        <f t="shared" si="2"/>
        <v>0</v>
      </c>
      <c r="M36" s="316"/>
      <c r="N36" s="160">
        <f t="shared" si="4"/>
        <v>0</v>
      </c>
      <c r="O36" s="160">
        <f t="shared" si="5"/>
        <v>0</v>
      </c>
      <c r="P36" s="4"/>
      <c r="R36" s="1"/>
      <c r="S36" s="1"/>
      <c r="T36" s="1"/>
      <c r="U36" s="1"/>
    </row>
    <row r="37" spans="2:21">
      <c r="B37" t="str">
        <f t="shared" si="6"/>
        <v/>
      </c>
      <c r="C37" s="155">
        <f>IF(D11="","-",+C36+1)</f>
        <v>2030</v>
      </c>
      <c r="D37" s="164">
        <f>IF(F36+SUM(E$17:E36)=D$10,F36,D$10-SUM(E$17:E36))</f>
        <v>561954.08028801053</v>
      </c>
      <c r="E37" s="162">
        <f>IF(+I14&lt;F36,I14,D37)</f>
        <v>24175.777145778226</v>
      </c>
      <c r="F37" s="161">
        <f t="shared" si="8"/>
        <v>537778.30314223235</v>
      </c>
      <c r="G37" s="163">
        <f t="shared" si="9"/>
        <v>88780.120708268121</v>
      </c>
      <c r="H37" s="145">
        <f t="shared" si="10"/>
        <v>88780.120708268121</v>
      </c>
      <c r="I37" s="158">
        <f t="shared" si="0"/>
        <v>0</v>
      </c>
      <c r="J37" s="158"/>
      <c r="K37" s="316"/>
      <c r="L37" s="160">
        <f t="shared" si="2"/>
        <v>0</v>
      </c>
      <c r="M37" s="316"/>
      <c r="N37" s="160">
        <f t="shared" si="4"/>
        <v>0</v>
      </c>
      <c r="O37" s="160">
        <f t="shared" si="5"/>
        <v>0</v>
      </c>
      <c r="P37" s="4"/>
      <c r="R37" s="1"/>
      <c r="S37" s="1"/>
      <c r="T37" s="1"/>
      <c r="U37" s="1"/>
    </row>
    <row r="38" spans="2:21">
      <c r="B38" t="str">
        <f t="shared" si="6"/>
        <v/>
      </c>
      <c r="C38" s="155">
        <f>IF(D11="","-",+C37+1)</f>
        <v>2031</v>
      </c>
      <c r="D38" s="164">
        <f>IF(F37+SUM(E$17:E37)=D$10,F37,D$10-SUM(E$17:E37))</f>
        <v>537778.30314223235</v>
      </c>
      <c r="E38" s="162">
        <f>IF(+I14&lt;F37,I14,D38)</f>
        <v>24175.777145778226</v>
      </c>
      <c r="F38" s="161">
        <f t="shared" si="8"/>
        <v>513602.52599645412</v>
      </c>
      <c r="G38" s="163">
        <f t="shared" si="9"/>
        <v>85939.683823533749</v>
      </c>
      <c r="H38" s="145">
        <f t="shared" si="10"/>
        <v>85939.683823533749</v>
      </c>
      <c r="I38" s="158">
        <f t="shared" si="0"/>
        <v>0</v>
      </c>
      <c r="J38" s="158"/>
      <c r="K38" s="316"/>
      <c r="L38" s="160">
        <f t="shared" si="2"/>
        <v>0</v>
      </c>
      <c r="M38" s="316"/>
      <c r="N38" s="160">
        <f t="shared" si="4"/>
        <v>0</v>
      </c>
      <c r="O38" s="160">
        <f t="shared" si="5"/>
        <v>0</v>
      </c>
      <c r="P38" s="4"/>
      <c r="R38" s="1"/>
      <c r="S38" s="1"/>
      <c r="T38" s="1"/>
      <c r="U38" s="1"/>
    </row>
    <row r="39" spans="2:21">
      <c r="B39" t="str">
        <f t="shared" si="6"/>
        <v/>
      </c>
      <c r="C39" s="155">
        <f>IF(D11="","-",+C38+1)</f>
        <v>2032</v>
      </c>
      <c r="D39" s="164">
        <f>IF(F38+SUM(E$17:E38)=D$10,F38,D$10-SUM(E$17:E38))</f>
        <v>513602.52599645412</v>
      </c>
      <c r="E39" s="162">
        <f>IF(+I14&lt;F38,I14,D39)</f>
        <v>24175.777145778226</v>
      </c>
      <c r="F39" s="161">
        <f t="shared" si="8"/>
        <v>489426.74885067588</v>
      </c>
      <c r="G39" s="163">
        <f t="shared" si="9"/>
        <v>83099.246938799392</v>
      </c>
      <c r="H39" s="145">
        <f t="shared" si="10"/>
        <v>83099.246938799392</v>
      </c>
      <c r="I39" s="158">
        <f t="shared" si="0"/>
        <v>0</v>
      </c>
      <c r="J39" s="158"/>
      <c r="K39" s="316"/>
      <c r="L39" s="160">
        <f t="shared" si="2"/>
        <v>0</v>
      </c>
      <c r="M39" s="316"/>
      <c r="N39" s="160">
        <f t="shared" si="4"/>
        <v>0</v>
      </c>
      <c r="O39" s="160">
        <f t="shared" si="5"/>
        <v>0</v>
      </c>
      <c r="P39" s="4"/>
      <c r="R39" s="1"/>
      <c r="S39" s="1"/>
      <c r="T39" s="1"/>
      <c r="U39" s="1"/>
    </row>
    <row r="40" spans="2:21">
      <c r="B40" t="str">
        <f t="shared" si="6"/>
        <v/>
      </c>
      <c r="C40" s="155">
        <f>IF(D11="","-",+C39+1)</f>
        <v>2033</v>
      </c>
      <c r="D40" s="164">
        <f>IF(F39+SUM(E$17:E39)=D$10,F39,D$10-SUM(E$17:E39))</f>
        <v>489426.74885067588</v>
      </c>
      <c r="E40" s="162">
        <f>IF(+I14&lt;F39,I14,D40)</f>
        <v>24175.777145778226</v>
      </c>
      <c r="F40" s="161">
        <f t="shared" si="8"/>
        <v>465250.97170489765</v>
      </c>
      <c r="G40" s="163">
        <f t="shared" si="9"/>
        <v>80258.810054065019</v>
      </c>
      <c r="H40" s="145">
        <f t="shared" si="10"/>
        <v>80258.810054065019</v>
      </c>
      <c r="I40" s="158">
        <f t="shared" si="0"/>
        <v>0</v>
      </c>
      <c r="J40" s="158"/>
      <c r="K40" s="316"/>
      <c r="L40" s="160">
        <f t="shared" si="2"/>
        <v>0</v>
      </c>
      <c r="M40" s="316"/>
      <c r="N40" s="160">
        <f t="shared" si="4"/>
        <v>0</v>
      </c>
      <c r="O40" s="160">
        <f t="shared" si="5"/>
        <v>0</v>
      </c>
      <c r="P40" s="4"/>
      <c r="R40" s="1"/>
      <c r="S40" s="1"/>
      <c r="T40" s="1"/>
      <c r="U40" s="1"/>
    </row>
    <row r="41" spans="2:21">
      <c r="B41" t="str">
        <f t="shared" si="6"/>
        <v/>
      </c>
      <c r="C41" s="155">
        <f>IF(D12="","-",+C40+1)</f>
        <v>2034</v>
      </c>
      <c r="D41" s="164">
        <f>IF(F40+SUM(E$17:E40)=D$10,F40,D$10-SUM(E$17:E40))</f>
        <v>465250.97170489765</v>
      </c>
      <c r="E41" s="162">
        <f>IF(+I14&lt;F40,I14,D41)</f>
        <v>24175.777145778226</v>
      </c>
      <c r="F41" s="161">
        <f t="shared" si="8"/>
        <v>441075.19455911941</v>
      </c>
      <c r="G41" s="163">
        <f t="shared" si="9"/>
        <v>77418.373169330662</v>
      </c>
      <c r="H41" s="145">
        <f t="shared" si="10"/>
        <v>77418.373169330662</v>
      </c>
      <c r="I41" s="158">
        <f t="shared" si="0"/>
        <v>0</v>
      </c>
      <c r="J41" s="158"/>
      <c r="K41" s="316"/>
      <c r="L41" s="160">
        <f t="shared" si="2"/>
        <v>0</v>
      </c>
      <c r="M41" s="316"/>
      <c r="N41" s="160">
        <f t="shared" si="4"/>
        <v>0</v>
      </c>
      <c r="O41" s="160">
        <f t="shared" si="5"/>
        <v>0</v>
      </c>
      <c r="P41" s="4"/>
      <c r="R41" s="1"/>
      <c r="S41" s="1"/>
      <c r="T41" s="1"/>
      <c r="U41" s="1"/>
    </row>
    <row r="42" spans="2:21">
      <c r="B42" t="str">
        <f t="shared" si="6"/>
        <v/>
      </c>
      <c r="C42" s="155">
        <f>IF(D13="","-",+C41+1)</f>
        <v>2035</v>
      </c>
      <c r="D42" s="164">
        <f>IF(F41+SUM(E$17:E41)=D$10,F41,D$10-SUM(E$17:E41))</f>
        <v>441075.19455911941</v>
      </c>
      <c r="E42" s="162">
        <f>IF(+I14&lt;F41,I14,D42)</f>
        <v>24175.777145778226</v>
      </c>
      <c r="F42" s="161">
        <f t="shared" si="8"/>
        <v>416899.41741334117</v>
      </c>
      <c r="G42" s="163">
        <f t="shared" si="9"/>
        <v>74577.93628459629</v>
      </c>
      <c r="H42" s="145">
        <f t="shared" si="10"/>
        <v>74577.93628459629</v>
      </c>
      <c r="I42" s="158">
        <f t="shared" si="0"/>
        <v>0</v>
      </c>
      <c r="J42" s="158"/>
      <c r="K42" s="316"/>
      <c r="L42" s="160">
        <f t="shared" si="2"/>
        <v>0</v>
      </c>
      <c r="M42" s="316"/>
      <c r="N42" s="160">
        <f t="shared" si="4"/>
        <v>0</v>
      </c>
      <c r="O42" s="160">
        <f t="shared" si="5"/>
        <v>0</v>
      </c>
      <c r="P42" s="4"/>
      <c r="R42" s="1"/>
      <c r="S42" s="1"/>
      <c r="T42" s="1"/>
      <c r="U42" s="1"/>
    </row>
    <row r="43" spans="2:21">
      <c r="B43" t="str">
        <f t="shared" si="6"/>
        <v/>
      </c>
      <c r="C43" s="155">
        <f>IF(D11="","-",+C42+1)</f>
        <v>2036</v>
      </c>
      <c r="D43" s="164">
        <f>IF(F42+SUM(E$17:E42)=D$10,F42,D$10-SUM(E$17:E42))</f>
        <v>416899.41741334117</v>
      </c>
      <c r="E43" s="162">
        <f>IF(+I14&lt;F42,I14,D43)</f>
        <v>24175.777145778226</v>
      </c>
      <c r="F43" s="161">
        <f t="shared" si="8"/>
        <v>392723.64026756294</v>
      </c>
      <c r="G43" s="163">
        <f t="shared" si="9"/>
        <v>71737.499399861932</v>
      </c>
      <c r="H43" s="145">
        <f t="shared" si="10"/>
        <v>71737.499399861932</v>
      </c>
      <c r="I43" s="158">
        <f t="shared" si="0"/>
        <v>0</v>
      </c>
      <c r="J43" s="158"/>
      <c r="K43" s="316"/>
      <c r="L43" s="160">
        <f t="shared" si="2"/>
        <v>0</v>
      </c>
      <c r="M43" s="316"/>
      <c r="N43" s="160">
        <f t="shared" si="4"/>
        <v>0</v>
      </c>
      <c r="O43" s="160">
        <f t="shared" si="5"/>
        <v>0</v>
      </c>
      <c r="P43" s="4"/>
      <c r="R43" s="1"/>
      <c r="S43" s="1"/>
      <c r="T43" s="1"/>
      <c r="U43" s="1"/>
    </row>
    <row r="44" spans="2:21">
      <c r="B44" t="str">
        <f t="shared" si="6"/>
        <v/>
      </c>
      <c r="C44" s="155">
        <f>IF(D11="","-",+C43+1)</f>
        <v>2037</v>
      </c>
      <c r="D44" s="164">
        <f>IF(F43+SUM(E$17:E43)=D$10,F43,D$10-SUM(E$17:E43))</f>
        <v>392723.64026756294</v>
      </c>
      <c r="E44" s="162">
        <f>IF(+I14&lt;F43,I14,D44)</f>
        <v>24175.777145778226</v>
      </c>
      <c r="F44" s="161">
        <f t="shared" si="8"/>
        <v>368547.8631217847</v>
      </c>
      <c r="G44" s="163">
        <f t="shared" si="9"/>
        <v>68897.06251512756</v>
      </c>
      <c r="H44" s="145">
        <f t="shared" si="10"/>
        <v>68897.06251512756</v>
      </c>
      <c r="I44" s="158">
        <f t="shared" si="0"/>
        <v>0</v>
      </c>
      <c r="J44" s="158"/>
      <c r="K44" s="316"/>
      <c r="L44" s="160">
        <f t="shared" si="2"/>
        <v>0</v>
      </c>
      <c r="M44" s="316"/>
      <c r="N44" s="160">
        <f t="shared" si="4"/>
        <v>0</v>
      </c>
      <c r="O44" s="160">
        <f t="shared" si="5"/>
        <v>0</v>
      </c>
      <c r="P44" s="4"/>
      <c r="R44" s="1"/>
      <c r="S44" s="1"/>
      <c r="T44" s="1"/>
      <c r="U44" s="1"/>
    </row>
    <row r="45" spans="2:21">
      <c r="B45" t="str">
        <f t="shared" si="6"/>
        <v/>
      </c>
      <c r="C45" s="155">
        <f>IF(D11="","-",+C44+1)</f>
        <v>2038</v>
      </c>
      <c r="D45" s="164">
        <f>IF(F44+SUM(E$17:E44)=D$10,F44,D$10-SUM(E$17:E44))</f>
        <v>368547.8631217847</v>
      </c>
      <c r="E45" s="162">
        <f>IF(+I14&lt;F44,I14,D45)</f>
        <v>24175.777145778226</v>
      </c>
      <c r="F45" s="161">
        <f t="shared" si="8"/>
        <v>344372.08597600646</v>
      </c>
      <c r="G45" s="163">
        <f t="shared" si="9"/>
        <v>66056.625630393202</v>
      </c>
      <c r="H45" s="145">
        <f t="shared" si="10"/>
        <v>66056.625630393202</v>
      </c>
      <c r="I45" s="158">
        <f t="shared" si="0"/>
        <v>0</v>
      </c>
      <c r="J45" s="158"/>
      <c r="K45" s="316"/>
      <c r="L45" s="160">
        <f t="shared" si="2"/>
        <v>0</v>
      </c>
      <c r="M45" s="316"/>
      <c r="N45" s="160">
        <f t="shared" si="4"/>
        <v>0</v>
      </c>
      <c r="O45" s="160">
        <f t="shared" si="5"/>
        <v>0</v>
      </c>
      <c r="P45" s="4"/>
      <c r="R45" s="1"/>
      <c r="S45" s="1"/>
      <c r="T45" s="1"/>
      <c r="U45" s="1"/>
    </row>
    <row r="46" spans="2:21">
      <c r="B46" t="str">
        <f t="shared" si="6"/>
        <v/>
      </c>
      <c r="C46" s="155">
        <f>IF(D11="","-",+C45+1)</f>
        <v>2039</v>
      </c>
      <c r="D46" s="164">
        <f>IF(F45+SUM(E$17:E45)=D$10,F45,D$10-SUM(E$17:E45))</f>
        <v>344372.08597600646</v>
      </c>
      <c r="E46" s="162">
        <f>IF(+I14&lt;F45,I14,D46)</f>
        <v>24175.777145778226</v>
      </c>
      <c r="F46" s="161">
        <f t="shared" si="8"/>
        <v>320196.30883022823</v>
      </c>
      <c r="G46" s="163">
        <f t="shared" si="9"/>
        <v>63216.18874565883</v>
      </c>
      <c r="H46" s="145">
        <f t="shared" si="10"/>
        <v>63216.18874565883</v>
      </c>
      <c r="I46" s="158">
        <f t="shared" si="0"/>
        <v>0</v>
      </c>
      <c r="J46" s="158"/>
      <c r="K46" s="316"/>
      <c r="L46" s="160">
        <f t="shared" si="2"/>
        <v>0</v>
      </c>
      <c r="M46" s="316"/>
      <c r="N46" s="160">
        <f t="shared" si="4"/>
        <v>0</v>
      </c>
      <c r="O46" s="160">
        <f t="shared" si="5"/>
        <v>0</v>
      </c>
      <c r="P46" s="4"/>
      <c r="R46" s="1"/>
      <c r="S46" s="1"/>
      <c r="T46" s="1"/>
      <c r="U46" s="1"/>
    </row>
    <row r="47" spans="2:21">
      <c r="B47" t="str">
        <f t="shared" si="6"/>
        <v/>
      </c>
      <c r="C47" s="155">
        <f>IF(D11="","-",+C46+1)</f>
        <v>2040</v>
      </c>
      <c r="D47" s="164">
        <f>IF(F46+SUM(E$17:E46)=D$10,F46,D$10-SUM(E$17:E46))</f>
        <v>320196.30883022823</v>
      </c>
      <c r="E47" s="162">
        <f>IF(+I14&lt;F46,I14,D47)</f>
        <v>24175.777145778226</v>
      </c>
      <c r="F47" s="161">
        <f t="shared" si="8"/>
        <v>296020.53168444999</v>
      </c>
      <c r="G47" s="163">
        <f t="shared" si="9"/>
        <v>60375.751860924473</v>
      </c>
      <c r="H47" s="145">
        <f t="shared" si="10"/>
        <v>60375.751860924473</v>
      </c>
      <c r="I47" s="158">
        <f t="shared" si="0"/>
        <v>0</v>
      </c>
      <c r="J47" s="158"/>
      <c r="K47" s="316"/>
      <c r="L47" s="160">
        <f t="shared" si="2"/>
        <v>0</v>
      </c>
      <c r="M47" s="316"/>
      <c r="N47" s="160">
        <f t="shared" si="4"/>
        <v>0</v>
      </c>
      <c r="O47" s="160">
        <f t="shared" si="5"/>
        <v>0</v>
      </c>
      <c r="P47" s="4"/>
      <c r="R47" s="1"/>
      <c r="S47" s="1"/>
      <c r="T47" s="1"/>
      <c r="U47" s="1"/>
    </row>
    <row r="48" spans="2:21">
      <c r="B48" t="str">
        <f t="shared" si="6"/>
        <v/>
      </c>
      <c r="C48" s="155">
        <f>IF(D11="","-",+C47+1)</f>
        <v>2041</v>
      </c>
      <c r="D48" s="164">
        <f>IF(F47+SUM(E$17:E47)=D$10,F47,D$10-SUM(E$17:E47))</f>
        <v>296020.53168444999</v>
      </c>
      <c r="E48" s="162">
        <f>IF(+I14&lt;F47,I14,D48)</f>
        <v>24175.777145778226</v>
      </c>
      <c r="F48" s="161">
        <f t="shared" si="8"/>
        <v>271844.75453867175</v>
      </c>
      <c r="G48" s="163">
        <f t="shared" si="9"/>
        <v>57535.3149761901</v>
      </c>
      <c r="H48" s="145">
        <f t="shared" si="10"/>
        <v>57535.3149761901</v>
      </c>
      <c r="I48" s="158">
        <f t="shared" si="0"/>
        <v>0</v>
      </c>
      <c r="J48" s="158"/>
      <c r="K48" s="316"/>
      <c r="L48" s="160">
        <f t="shared" si="2"/>
        <v>0</v>
      </c>
      <c r="M48" s="316"/>
      <c r="N48" s="160">
        <f t="shared" si="4"/>
        <v>0</v>
      </c>
      <c r="O48" s="160">
        <f t="shared" si="5"/>
        <v>0</v>
      </c>
      <c r="P48" s="4"/>
      <c r="R48" s="1"/>
      <c r="S48" s="1"/>
      <c r="T48" s="1"/>
      <c r="U48" s="1"/>
    </row>
    <row r="49" spans="2:21">
      <c r="B49" t="str">
        <f t="shared" si="6"/>
        <v/>
      </c>
      <c r="C49" s="155">
        <f>IF(D11="","-",+C48+1)</f>
        <v>2042</v>
      </c>
      <c r="D49" s="164">
        <f>IF(F48+SUM(E$17:E48)=D$10,F48,D$10-SUM(E$17:E48))</f>
        <v>271844.75453867175</v>
      </c>
      <c r="E49" s="162">
        <f>IF(+I14&lt;F48,I14,D49)</f>
        <v>24175.777145778226</v>
      </c>
      <c r="F49" s="161">
        <f t="shared" si="8"/>
        <v>247668.97739289352</v>
      </c>
      <c r="G49" s="163">
        <f t="shared" si="9"/>
        <v>54694.878091455743</v>
      </c>
      <c r="H49" s="145">
        <f t="shared" si="10"/>
        <v>54694.878091455743</v>
      </c>
      <c r="I49" s="158">
        <f t="shared" si="0"/>
        <v>0</v>
      </c>
      <c r="J49" s="158"/>
      <c r="K49" s="316"/>
      <c r="L49" s="160">
        <f t="shared" si="2"/>
        <v>0</v>
      </c>
      <c r="M49" s="316"/>
      <c r="N49" s="160">
        <f t="shared" si="4"/>
        <v>0</v>
      </c>
      <c r="O49" s="160">
        <f t="shared" si="5"/>
        <v>0</v>
      </c>
      <c r="P49" s="4"/>
      <c r="R49" s="1"/>
      <c r="S49" s="1"/>
      <c r="T49" s="1"/>
      <c r="U49" s="1"/>
    </row>
    <row r="50" spans="2:21">
      <c r="B50" t="str">
        <f t="shared" si="6"/>
        <v/>
      </c>
      <c r="C50" s="155">
        <f>IF(D11="","-",+C49+1)</f>
        <v>2043</v>
      </c>
      <c r="D50" s="164">
        <f>IF(F49+SUM(E$17:E49)=D$10,F49,D$10-SUM(E$17:E49))</f>
        <v>247668.97739289352</v>
      </c>
      <c r="E50" s="162">
        <f>IF(+I14&lt;F49,I14,D50)</f>
        <v>24175.777145778226</v>
      </c>
      <c r="F50" s="161">
        <f t="shared" ref="F50:F73" si="11">+D50-E50</f>
        <v>223493.20024711528</v>
      </c>
      <c r="G50" s="163">
        <f t="shared" si="9"/>
        <v>51854.441206721378</v>
      </c>
      <c r="H50" s="145">
        <f t="shared" si="10"/>
        <v>51854.441206721378</v>
      </c>
      <c r="I50" s="158">
        <f t="shared" ref="I50:I73" si="12">H50-G50</f>
        <v>0</v>
      </c>
      <c r="J50" s="158"/>
      <c r="K50" s="316"/>
      <c r="L50" s="160">
        <f t="shared" ref="L50:L73" si="13">IF(K50&lt;&gt;0,+G50-K50,0)</f>
        <v>0</v>
      </c>
      <c r="M50" s="316"/>
      <c r="N50" s="160">
        <f t="shared" ref="N50:N73" si="14">IF(M50&lt;&gt;0,+H50-M50,0)</f>
        <v>0</v>
      </c>
      <c r="O50" s="160">
        <f t="shared" ref="O50:O73" si="15">+N50-L50</f>
        <v>0</v>
      </c>
      <c r="P50" s="4"/>
      <c r="R50" s="1"/>
      <c r="S50" s="1"/>
      <c r="T50" s="1"/>
      <c r="U50" s="1"/>
    </row>
    <row r="51" spans="2:21">
      <c r="B51" t="str">
        <f t="shared" si="6"/>
        <v/>
      </c>
      <c r="C51" s="155">
        <f>IF(D11="","-",+C50+1)</f>
        <v>2044</v>
      </c>
      <c r="D51" s="164">
        <f>IF(F50+SUM(E$17:E50)=D$10,F50,D$10-SUM(E$17:E50))</f>
        <v>223493.20024711528</v>
      </c>
      <c r="E51" s="162">
        <f>IF(+I14&lt;F50,I14,D51)</f>
        <v>24175.777145778226</v>
      </c>
      <c r="F51" s="161">
        <f t="shared" si="11"/>
        <v>199317.42310133704</v>
      </c>
      <c r="G51" s="163">
        <f t="shared" si="9"/>
        <v>49014.004321987013</v>
      </c>
      <c r="H51" s="145">
        <f t="shared" si="10"/>
        <v>49014.004321987013</v>
      </c>
      <c r="I51" s="158">
        <f t="shared" si="12"/>
        <v>0</v>
      </c>
      <c r="J51" s="158"/>
      <c r="K51" s="316"/>
      <c r="L51" s="160">
        <f t="shared" si="13"/>
        <v>0</v>
      </c>
      <c r="M51" s="316"/>
      <c r="N51" s="160">
        <f t="shared" si="14"/>
        <v>0</v>
      </c>
      <c r="O51" s="160">
        <f t="shared" si="15"/>
        <v>0</v>
      </c>
      <c r="P51" s="4"/>
      <c r="R51" s="1"/>
      <c r="S51" s="1"/>
      <c r="T51" s="1"/>
      <c r="U51" s="1"/>
    </row>
    <row r="52" spans="2:21">
      <c r="B52" t="str">
        <f t="shared" si="6"/>
        <v/>
      </c>
      <c r="C52" s="155">
        <f>IF(D11="","-",+C51+1)</f>
        <v>2045</v>
      </c>
      <c r="D52" s="164">
        <f>IF(F51+SUM(E$17:E51)=D$10,F51,D$10-SUM(E$17:E51))</f>
        <v>199317.42310133704</v>
      </c>
      <c r="E52" s="162">
        <f>IF(+I14&lt;F51,I14,D52)</f>
        <v>24175.777145778226</v>
      </c>
      <c r="F52" s="161">
        <f t="shared" si="11"/>
        <v>175141.64595555881</v>
      </c>
      <c r="G52" s="163">
        <f t="shared" si="9"/>
        <v>46173.567437252648</v>
      </c>
      <c r="H52" s="145">
        <f t="shared" si="10"/>
        <v>46173.567437252648</v>
      </c>
      <c r="I52" s="158">
        <f t="shared" si="12"/>
        <v>0</v>
      </c>
      <c r="J52" s="158"/>
      <c r="K52" s="316"/>
      <c r="L52" s="160">
        <f t="shared" si="13"/>
        <v>0</v>
      </c>
      <c r="M52" s="316"/>
      <c r="N52" s="160">
        <f t="shared" si="14"/>
        <v>0</v>
      </c>
      <c r="O52" s="160">
        <f t="shared" si="15"/>
        <v>0</v>
      </c>
      <c r="P52" s="4"/>
      <c r="R52" s="1"/>
      <c r="S52" s="1"/>
      <c r="T52" s="1"/>
      <c r="U52" s="1"/>
    </row>
    <row r="53" spans="2:21">
      <c r="B53" t="str">
        <f t="shared" si="6"/>
        <v/>
      </c>
      <c r="C53" s="155">
        <f>IF(D11="","-",+C52+1)</f>
        <v>2046</v>
      </c>
      <c r="D53" s="164">
        <f>IF(F52+SUM(E$17:E52)=D$10,F52,D$10-SUM(E$17:E52))</f>
        <v>175141.64595555881</v>
      </c>
      <c r="E53" s="162">
        <f>IF(+I14&lt;F52,I14,D53)</f>
        <v>24175.777145778226</v>
      </c>
      <c r="F53" s="161">
        <f t="shared" si="11"/>
        <v>150965.86880978057</v>
      </c>
      <c r="G53" s="163">
        <f t="shared" si="9"/>
        <v>43333.130552518283</v>
      </c>
      <c r="H53" s="145">
        <f t="shared" si="10"/>
        <v>43333.130552518283</v>
      </c>
      <c r="I53" s="158">
        <f t="shared" si="12"/>
        <v>0</v>
      </c>
      <c r="J53" s="158"/>
      <c r="K53" s="316"/>
      <c r="L53" s="160">
        <f t="shared" si="13"/>
        <v>0</v>
      </c>
      <c r="M53" s="316"/>
      <c r="N53" s="160">
        <f t="shared" si="14"/>
        <v>0</v>
      </c>
      <c r="O53" s="160">
        <f t="shared" si="15"/>
        <v>0</v>
      </c>
      <c r="P53" s="4"/>
      <c r="R53" s="1"/>
      <c r="S53" s="1"/>
      <c r="T53" s="1"/>
      <c r="U53" s="1"/>
    </row>
    <row r="54" spans="2:21">
      <c r="B54" t="str">
        <f t="shared" si="6"/>
        <v/>
      </c>
      <c r="C54" s="155">
        <f>IF(D11="","-",+C53+1)</f>
        <v>2047</v>
      </c>
      <c r="D54" s="164">
        <f>IF(F53+SUM(E$17:E53)=D$10,F53,D$10-SUM(E$17:E53))</f>
        <v>150965.86880978057</v>
      </c>
      <c r="E54" s="162">
        <f>IF(+I14&lt;F53,I14,D54)</f>
        <v>24175.777145778226</v>
      </c>
      <c r="F54" s="161">
        <f t="shared" si="11"/>
        <v>126790.09166400235</v>
      </c>
      <c r="G54" s="163">
        <f t="shared" si="9"/>
        <v>40492.693667783918</v>
      </c>
      <c r="H54" s="145">
        <f t="shared" si="10"/>
        <v>40492.693667783918</v>
      </c>
      <c r="I54" s="158">
        <f t="shared" si="12"/>
        <v>0</v>
      </c>
      <c r="J54" s="158"/>
      <c r="K54" s="316"/>
      <c r="L54" s="160">
        <f t="shared" si="13"/>
        <v>0</v>
      </c>
      <c r="M54" s="316"/>
      <c r="N54" s="160">
        <f t="shared" si="14"/>
        <v>0</v>
      </c>
      <c r="O54" s="160">
        <f t="shared" si="15"/>
        <v>0</v>
      </c>
      <c r="P54" s="4"/>
      <c r="R54" s="1"/>
      <c r="S54" s="1"/>
      <c r="T54" s="1"/>
      <c r="U54" s="1"/>
    </row>
    <row r="55" spans="2:21">
      <c r="B55" t="str">
        <f t="shared" si="6"/>
        <v/>
      </c>
      <c r="C55" s="155">
        <f>IF(D11="","-",+C54+1)</f>
        <v>2048</v>
      </c>
      <c r="D55" s="164">
        <f>IF(F54+SUM(E$17:E54)=D$10,F54,D$10-SUM(E$17:E54))</f>
        <v>126790.09166400235</v>
      </c>
      <c r="E55" s="162">
        <f>IF(+I14&lt;F54,I14,D55)</f>
        <v>24175.777145778226</v>
      </c>
      <c r="F55" s="161">
        <f t="shared" si="11"/>
        <v>102614.31451822413</v>
      </c>
      <c r="G55" s="163">
        <f t="shared" si="9"/>
        <v>37652.256783049561</v>
      </c>
      <c r="H55" s="145">
        <f t="shared" si="10"/>
        <v>37652.256783049561</v>
      </c>
      <c r="I55" s="158">
        <f t="shared" si="12"/>
        <v>0</v>
      </c>
      <c r="J55" s="158"/>
      <c r="K55" s="316"/>
      <c r="L55" s="160">
        <f t="shared" si="13"/>
        <v>0</v>
      </c>
      <c r="M55" s="316"/>
      <c r="N55" s="160">
        <f t="shared" si="14"/>
        <v>0</v>
      </c>
      <c r="O55" s="160">
        <f t="shared" si="15"/>
        <v>0</v>
      </c>
      <c r="P55" s="4"/>
      <c r="R55" s="1"/>
      <c r="S55" s="1"/>
      <c r="T55" s="1"/>
      <c r="U55" s="1"/>
    </row>
    <row r="56" spans="2:21">
      <c r="B56" t="str">
        <f t="shared" si="6"/>
        <v>IU</v>
      </c>
      <c r="C56" s="155">
        <f>IF(D11="","-",+C55+1)</f>
        <v>2049</v>
      </c>
      <c r="D56" s="164">
        <f>IF(F55+SUM(E$17:E55)=D$10,F55,D$10-SUM(E$17:E55))</f>
        <v>102614.31451822468</v>
      </c>
      <c r="E56" s="162">
        <f>IF(+I14&lt;F55,I14,D56)</f>
        <v>24175.777145778226</v>
      </c>
      <c r="F56" s="161">
        <f t="shared" si="11"/>
        <v>78438.537372446459</v>
      </c>
      <c r="G56" s="163">
        <f t="shared" si="9"/>
        <v>34811.819898315262</v>
      </c>
      <c r="H56" s="145">
        <f t="shared" si="10"/>
        <v>34811.819898315262</v>
      </c>
      <c r="I56" s="158">
        <f t="shared" si="12"/>
        <v>0</v>
      </c>
      <c r="J56" s="158"/>
      <c r="K56" s="316"/>
      <c r="L56" s="160">
        <f t="shared" si="13"/>
        <v>0</v>
      </c>
      <c r="M56" s="316"/>
      <c r="N56" s="160">
        <f t="shared" si="14"/>
        <v>0</v>
      </c>
      <c r="O56" s="160">
        <f t="shared" si="15"/>
        <v>0</v>
      </c>
      <c r="P56" s="4"/>
      <c r="R56" s="1"/>
      <c r="S56" s="1"/>
      <c r="T56" s="1"/>
      <c r="U56" s="1"/>
    </row>
    <row r="57" spans="2:21">
      <c r="B57" t="str">
        <f t="shared" si="6"/>
        <v/>
      </c>
      <c r="C57" s="155">
        <f>IF(D11="","-",+C56+1)</f>
        <v>2050</v>
      </c>
      <c r="D57" s="164">
        <f>IF(F56+SUM(E$17:E56)=D$10,F56,D$10-SUM(E$17:E56))</f>
        <v>78438.537372446459</v>
      </c>
      <c r="E57" s="162">
        <f>IF(+I14&lt;F56,I14,D57)</f>
        <v>24175.777145778226</v>
      </c>
      <c r="F57" s="161">
        <f t="shared" si="11"/>
        <v>54262.760226668237</v>
      </c>
      <c r="G57" s="163">
        <f t="shared" si="9"/>
        <v>31971.3830135809</v>
      </c>
      <c r="H57" s="145">
        <f t="shared" si="10"/>
        <v>31971.3830135809</v>
      </c>
      <c r="I57" s="158">
        <f t="shared" si="12"/>
        <v>0</v>
      </c>
      <c r="J57" s="158"/>
      <c r="K57" s="316"/>
      <c r="L57" s="160">
        <f t="shared" si="13"/>
        <v>0</v>
      </c>
      <c r="M57" s="316"/>
      <c r="N57" s="160">
        <f t="shared" si="14"/>
        <v>0</v>
      </c>
      <c r="O57" s="160">
        <f t="shared" si="15"/>
        <v>0</v>
      </c>
      <c r="P57" s="4"/>
      <c r="R57" s="1"/>
      <c r="S57" s="1"/>
      <c r="T57" s="1"/>
      <c r="U57" s="1"/>
    </row>
    <row r="58" spans="2:21">
      <c r="B58" t="str">
        <f t="shared" si="6"/>
        <v/>
      </c>
      <c r="C58" s="155">
        <f>IF(D11="","-",+C57+1)</f>
        <v>2051</v>
      </c>
      <c r="D58" s="164">
        <f>IF(F57+SUM(E$17:E57)=D$10,F57,D$10-SUM(E$17:E57))</f>
        <v>54262.760226668237</v>
      </c>
      <c r="E58" s="162">
        <f>IF(+I14&lt;F57,I14,D58)</f>
        <v>24175.777145778226</v>
      </c>
      <c r="F58" s="161">
        <f t="shared" si="11"/>
        <v>30086.983080890011</v>
      </c>
      <c r="G58" s="163">
        <f t="shared" si="9"/>
        <v>29130.946128846535</v>
      </c>
      <c r="H58" s="145">
        <f t="shared" si="10"/>
        <v>29130.946128846535</v>
      </c>
      <c r="I58" s="158">
        <f t="shared" si="12"/>
        <v>0</v>
      </c>
      <c r="J58" s="158"/>
      <c r="K58" s="316"/>
      <c r="L58" s="160">
        <f t="shared" si="13"/>
        <v>0</v>
      </c>
      <c r="M58" s="316"/>
      <c r="N58" s="160">
        <f t="shared" si="14"/>
        <v>0</v>
      </c>
      <c r="O58" s="160">
        <f t="shared" si="15"/>
        <v>0</v>
      </c>
      <c r="P58" s="4"/>
      <c r="R58" s="1"/>
      <c r="S58" s="1"/>
      <c r="T58" s="1"/>
      <c r="U58" s="1"/>
    </row>
    <row r="59" spans="2:21">
      <c r="B59" t="str">
        <f t="shared" si="6"/>
        <v/>
      </c>
      <c r="C59" s="155">
        <f>IF(D11="","-",+C58+1)</f>
        <v>2052</v>
      </c>
      <c r="D59" s="164">
        <f>IF(F58+SUM(E$17:E58)=D$10,F58,D$10-SUM(E$17:E58))</f>
        <v>30086.983080890011</v>
      </c>
      <c r="E59" s="162">
        <f>IF(+I14&lt;F58,I14,D59)</f>
        <v>24175.777145778226</v>
      </c>
      <c r="F59" s="161">
        <f t="shared" si="11"/>
        <v>5911.2059351117859</v>
      </c>
      <c r="G59" s="163">
        <f t="shared" si="9"/>
        <v>26290.509244112171</v>
      </c>
      <c r="H59" s="145">
        <f t="shared" si="10"/>
        <v>26290.509244112171</v>
      </c>
      <c r="I59" s="158">
        <f t="shared" si="12"/>
        <v>0</v>
      </c>
      <c r="J59" s="158"/>
      <c r="K59" s="316"/>
      <c r="L59" s="160">
        <f t="shared" si="13"/>
        <v>0</v>
      </c>
      <c r="M59" s="316"/>
      <c r="N59" s="160">
        <f t="shared" si="14"/>
        <v>0</v>
      </c>
      <c r="O59" s="160">
        <f t="shared" si="15"/>
        <v>0</v>
      </c>
      <c r="P59" s="4"/>
      <c r="R59" s="1"/>
      <c r="S59" s="1"/>
      <c r="T59" s="1"/>
      <c r="U59" s="1"/>
    </row>
    <row r="60" spans="2:21">
      <c r="B60" t="str">
        <f t="shared" si="6"/>
        <v/>
      </c>
      <c r="C60" s="155">
        <f>IF(D11="","-",+C59+1)</f>
        <v>2053</v>
      </c>
      <c r="D60" s="164">
        <f>IF(F59+SUM(E$17:E59)=D$10,F59,D$10-SUM(E$17:E59))</f>
        <v>5911.2059351117859</v>
      </c>
      <c r="E60" s="162">
        <f>IF(+I14&lt;F59,I14,D60)</f>
        <v>5911.2059351117859</v>
      </c>
      <c r="F60" s="161">
        <f t="shared" si="11"/>
        <v>0</v>
      </c>
      <c r="G60" s="163">
        <f t="shared" si="9"/>
        <v>6258.4627630951682</v>
      </c>
      <c r="H60" s="145">
        <f t="shared" si="10"/>
        <v>6258.4627630951682</v>
      </c>
      <c r="I60" s="158">
        <f t="shared" si="12"/>
        <v>0</v>
      </c>
      <c r="J60" s="158"/>
      <c r="K60" s="316"/>
      <c r="L60" s="160">
        <f t="shared" si="13"/>
        <v>0</v>
      </c>
      <c r="M60" s="316"/>
      <c r="N60" s="160">
        <f t="shared" si="14"/>
        <v>0</v>
      </c>
      <c r="O60" s="160">
        <f t="shared" si="15"/>
        <v>0</v>
      </c>
      <c r="P60" s="4"/>
      <c r="R60" s="1"/>
      <c r="S60" s="1"/>
      <c r="T60" s="1"/>
      <c r="U60" s="1"/>
    </row>
    <row r="61" spans="2:21">
      <c r="B61" t="str">
        <f t="shared" si="6"/>
        <v/>
      </c>
      <c r="C61" s="155">
        <f>IF(D11="","-",+C60+1)</f>
        <v>2054</v>
      </c>
      <c r="D61" s="164">
        <f>IF(F60+SUM(E$17:E60)=D$10,F60,D$10-SUM(E$17:E60))</f>
        <v>0</v>
      </c>
      <c r="E61" s="162">
        <f>IF(+I14&lt;F60,I14,D61)</f>
        <v>0</v>
      </c>
      <c r="F61" s="161">
        <f t="shared" si="11"/>
        <v>0</v>
      </c>
      <c r="G61" s="163">
        <f t="shared" si="9"/>
        <v>0</v>
      </c>
      <c r="H61" s="145">
        <f t="shared" si="10"/>
        <v>0</v>
      </c>
      <c r="I61" s="158">
        <f t="shared" si="12"/>
        <v>0</v>
      </c>
      <c r="J61" s="158"/>
      <c r="K61" s="316"/>
      <c r="L61" s="160">
        <f t="shared" si="13"/>
        <v>0</v>
      </c>
      <c r="M61" s="316"/>
      <c r="N61" s="160">
        <f t="shared" si="14"/>
        <v>0</v>
      </c>
      <c r="O61" s="160">
        <f t="shared" si="15"/>
        <v>0</v>
      </c>
      <c r="P61" s="4"/>
      <c r="R61" s="1"/>
      <c r="S61" s="1"/>
      <c r="T61" s="1"/>
      <c r="U61" s="1"/>
    </row>
    <row r="62" spans="2:21">
      <c r="B62" t="str">
        <f t="shared" si="6"/>
        <v/>
      </c>
      <c r="C62" s="155">
        <f>IF(D11="","-",+C61+1)</f>
        <v>2055</v>
      </c>
      <c r="D62" s="164">
        <f>IF(F61+SUM(E$17:E61)=D$10,F61,D$10-SUM(E$17:E61))</f>
        <v>0</v>
      </c>
      <c r="E62" s="162">
        <f>IF(+I14&lt;F61,I14,D62)</f>
        <v>0</v>
      </c>
      <c r="F62" s="161">
        <f t="shared" si="11"/>
        <v>0</v>
      </c>
      <c r="G62" s="165">
        <f t="shared" si="9"/>
        <v>0</v>
      </c>
      <c r="H62" s="145">
        <f t="shared" si="10"/>
        <v>0</v>
      </c>
      <c r="I62" s="158">
        <f t="shared" si="12"/>
        <v>0</v>
      </c>
      <c r="J62" s="158"/>
      <c r="K62" s="316"/>
      <c r="L62" s="160">
        <f t="shared" si="13"/>
        <v>0</v>
      </c>
      <c r="M62" s="316"/>
      <c r="N62" s="160">
        <f t="shared" si="14"/>
        <v>0</v>
      </c>
      <c r="O62" s="160">
        <f t="shared" si="15"/>
        <v>0</v>
      </c>
      <c r="P62" s="4"/>
      <c r="R62" s="1"/>
      <c r="S62" s="1"/>
      <c r="T62" s="1"/>
      <c r="U62" s="1"/>
    </row>
    <row r="63" spans="2:21">
      <c r="B63" t="str">
        <f t="shared" si="6"/>
        <v/>
      </c>
      <c r="C63" s="155">
        <f>IF(D11="","-",+C62+1)</f>
        <v>2056</v>
      </c>
      <c r="D63" s="164">
        <f>IF(F62+SUM(E$17:E62)=D$10,F62,D$10-SUM(E$17:E62))</f>
        <v>0</v>
      </c>
      <c r="E63" s="162">
        <f>IF(+I14&lt;F62,I14,D63)</f>
        <v>0</v>
      </c>
      <c r="F63" s="161">
        <f t="shared" si="11"/>
        <v>0</v>
      </c>
      <c r="G63" s="165">
        <f t="shared" si="9"/>
        <v>0</v>
      </c>
      <c r="H63" s="145">
        <f t="shared" si="10"/>
        <v>0</v>
      </c>
      <c r="I63" s="158">
        <f t="shared" si="12"/>
        <v>0</v>
      </c>
      <c r="J63" s="158"/>
      <c r="K63" s="316"/>
      <c r="L63" s="160">
        <f t="shared" si="13"/>
        <v>0</v>
      </c>
      <c r="M63" s="316"/>
      <c r="N63" s="160">
        <f t="shared" si="14"/>
        <v>0</v>
      </c>
      <c r="O63" s="160">
        <f t="shared" si="15"/>
        <v>0</v>
      </c>
      <c r="P63" s="4"/>
      <c r="R63" s="1"/>
      <c r="S63" s="1"/>
      <c r="T63" s="1"/>
      <c r="U63" s="1"/>
    </row>
    <row r="64" spans="2:21">
      <c r="B64" t="str">
        <f t="shared" si="6"/>
        <v/>
      </c>
      <c r="C64" s="155">
        <f>IF(D11="","-",+C63+1)</f>
        <v>2057</v>
      </c>
      <c r="D64" s="164">
        <f>IF(F63+SUM(E$17:E63)=D$10,F63,D$10-SUM(E$17:E63))</f>
        <v>0</v>
      </c>
      <c r="E64" s="162">
        <f>IF(+I14&lt;F63,I14,D64)</f>
        <v>0</v>
      </c>
      <c r="F64" s="161">
        <f t="shared" si="11"/>
        <v>0</v>
      </c>
      <c r="G64" s="165">
        <f t="shared" si="9"/>
        <v>0</v>
      </c>
      <c r="H64" s="145">
        <f t="shared" si="10"/>
        <v>0</v>
      </c>
      <c r="I64" s="158">
        <f t="shared" si="12"/>
        <v>0</v>
      </c>
      <c r="J64" s="158"/>
      <c r="K64" s="316"/>
      <c r="L64" s="160">
        <f t="shared" si="13"/>
        <v>0</v>
      </c>
      <c r="M64" s="316"/>
      <c r="N64" s="160">
        <f t="shared" si="14"/>
        <v>0</v>
      </c>
      <c r="O64" s="160">
        <f t="shared" si="15"/>
        <v>0</v>
      </c>
      <c r="P64" s="4"/>
      <c r="R64" s="1"/>
      <c r="S64" s="1"/>
      <c r="T64" s="1"/>
      <c r="U64" s="1"/>
    </row>
    <row r="65" spans="2:21">
      <c r="B65" t="str">
        <f t="shared" si="6"/>
        <v/>
      </c>
      <c r="C65" s="155">
        <f>IF(D11="","-",+C64+1)</f>
        <v>2058</v>
      </c>
      <c r="D65" s="164">
        <f>IF(F64+SUM(E$17:E64)=D$10,F64,D$10-SUM(E$17:E64))</f>
        <v>0</v>
      </c>
      <c r="E65" s="162">
        <f>IF(+I14&lt;F64,I14,D65)</f>
        <v>0</v>
      </c>
      <c r="F65" s="161">
        <f t="shared" si="11"/>
        <v>0</v>
      </c>
      <c r="G65" s="165">
        <f t="shared" si="9"/>
        <v>0</v>
      </c>
      <c r="H65" s="145">
        <f t="shared" si="10"/>
        <v>0</v>
      </c>
      <c r="I65" s="158">
        <f t="shared" si="12"/>
        <v>0</v>
      </c>
      <c r="J65" s="158"/>
      <c r="K65" s="316"/>
      <c r="L65" s="160">
        <f t="shared" si="13"/>
        <v>0</v>
      </c>
      <c r="M65" s="316"/>
      <c r="N65" s="160">
        <f t="shared" si="14"/>
        <v>0</v>
      </c>
      <c r="O65" s="160">
        <f t="shared" si="15"/>
        <v>0</v>
      </c>
      <c r="P65" s="4"/>
      <c r="R65" s="1"/>
      <c r="S65" s="1"/>
      <c r="T65" s="1"/>
      <c r="U65" s="1"/>
    </row>
    <row r="66" spans="2:21">
      <c r="B66" t="str">
        <f t="shared" si="6"/>
        <v/>
      </c>
      <c r="C66" s="155">
        <f>IF(D11="","-",+C65+1)</f>
        <v>2059</v>
      </c>
      <c r="D66" s="164">
        <f>IF(F65+SUM(E$17:E65)=D$10,F65,D$10-SUM(E$17:E65))</f>
        <v>0</v>
      </c>
      <c r="E66" s="162">
        <f>IF(+I14&lt;F65,I14,D66)</f>
        <v>0</v>
      </c>
      <c r="F66" s="161">
        <f t="shared" si="11"/>
        <v>0</v>
      </c>
      <c r="G66" s="165">
        <f t="shared" si="9"/>
        <v>0</v>
      </c>
      <c r="H66" s="145">
        <f t="shared" si="10"/>
        <v>0</v>
      </c>
      <c r="I66" s="158">
        <f t="shared" si="12"/>
        <v>0</v>
      </c>
      <c r="J66" s="158"/>
      <c r="K66" s="316"/>
      <c r="L66" s="160">
        <f t="shared" si="13"/>
        <v>0</v>
      </c>
      <c r="M66" s="316"/>
      <c r="N66" s="160">
        <f t="shared" si="14"/>
        <v>0</v>
      </c>
      <c r="O66" s="160">
        <f t="shared" si="15"/>
        <v>0</v>
      </c>
      <c r="P66" s="4"/>
      <c r="R66" s="1"/>
      <c r="S66" s="1"/>
      <c r="T66" s="1"/>
      <c r="U66" s="1"/>
    </row>
    <row r="67" spans="2:21">
      <c r="B67" t="str">
        <f t="shared" si="6"/>
        <v/>
      </c>
      <c r="C67" s="155">
        <f>IF(D11="","-",+C66+1)</f>
        <v>2060</v>
      </c>
      <c r="D67" s="164">
        <f>IF(F66+SUM(E$17:E66)=D$10,F66,D$10-SUM(E$17:E66))</f>
        <v>0</v>
      </c>
      <c r="E67" s="162">
        <f>IF(+I14&lt;F66,I14,D67)</f>
        <v>0</v>
      </c>
      <c r="F67" s="161">
        <f t="shared" si="11"/>
        <v>0</v>
      </c>
      <c r="G67" s="165">
        <f t="shared" si="9"/>
        <v>0</v>
      </c>
      <c r="H67" s="145">
        <f t="shared" si="10"/>
        <v>0</v>
      </c>
      <c r="I67" s="158">
        <f t="shared" si="12"/>
        <v>0</v>
      </c>
      <c r="J67" s="158"/>
      <c r="K67" s="316"/>
      <c r="L67" s="160">
        <f t="shared" si="13"/>
        <v>0</v>
      </c>
      <c r="M67" s="316"/>
      <c r="N67" s="160">
        <f t="shared" si="14"/>
        <v>0</v>
      </c>
      <c r="O67" s="160">
        <f t="shared" si="15"/>
        <v>0</v>
      </c>
      <c r="P67" s="4"/>
      <c r="R67" s="1"/>
      <c r="S67" s="1"/>
      <c r="T67" s="1"/>
      <c r="U67" s="1"/>
    </row>
    <row r="68" spans="2:21">
      <c r="B68" t="str">
        <f t="shared" si="6"/>
        <v/>
      </c>
      <c r="C68" s="155">
        <f>IF(D11="","-",+C67+1)</f>
        <v>2061</v>
      </c>
      <c r="D68" s="164">
        <f>IF(F67+SUM(E$17:E67)=D$10,F67,D$10-SUM(E$17:E67))</f>
        <v>0</v>
      </c>
      <c r="E68" s="162">
        <f>IF(+I14&lt;F67,I14,D68)</f>
        <v>0</v>
      </c>
      <c r="F68" s="161">
        <f t="shared" si="11"/>
        <v>0</v>
      </c>
      <c r="G68" s="165">
        <f t="shared" si="9"/>
        <v>0</v>
      </c>
      <c r="H68" s="145">
        <f t="shared" si="10"/>
        <v>0</v>
      </c>
      <c r="I68" s="158">
        <f t="shared" si="12"/>
        <v>0</v>
      </c>
      <c r="J68" s="158"/>
      <c r="K68" s="316"/>
      <c r="L68" s="160">
        <f t="shared" si="13"/>
        <v>0</v>
      </c>
      <c r="M68" s="316"/>
      <c r="N68" s="160">
        <f t="shared" si="14"/>
        <v>0</v>
      </c>
      <c r="O68" s="160">
        <f t="shared" si="15"/>
        <v>0</v>
      </c>
      <c r="P68" s="4"/>
      <c r="R68" s="1"/>
      <c r="S68" s="1"/>
      <c r="T68" s="1"/>
      <c r="U68" s="1"/>
    </row>
    <row r="69" spans="2:21">
      <c r="B69" t="str">
        <f t="shared" si="6"/>
        <v/>
      </c>
      <c r="C69" s="155">
        <f>IF(D11="","-",+C68+1)</f>
        <v>2062</v>
      </c>
      <c r="D69" s="164">
        <f>IF(F68+SUM(E$17:E68)=D$10,F68,D$10-SUM(E$17:E68))</f>
        <v>0</v>
      </c>
      <c r="E69" s="162">
        <f>IF(+I14&lt;F68,I14,D69)</f>
        <v>0</v>
      </c>
      <c r="F69" s="161">
        <f t="shared" si="11"/>
        <v>0</v>
      </c>
      <c r="G69" s="165">
        <f t="shared" si="9"/>
        <v>0</v>
      </c>
      <c r="H69" s="145">
        <f t="shared" si="10"/>
        <v>0</v>
      </c>
      <c r="I69" s="158">
        <f t="shared" si="12"/>
        <v>0</v>
      </c>
      <c r="J69" s="158"/>
      <c r="K69" s="316"/>
      <c r="L69" s="160">
        <f t="shared" si="13"/>
        <v>0</v>
      </c>
      <c r="M69" s="316"/>
      <c r="N69" s="160">
        <f t="shared" si="14"/>
        <v>0</v>
      </c>
      <c r="O69" s="160">
        <f t="shared" si="15"/>
        <v>0</v>
      </c>
      <c r="P69" s="4"/>
      <c r="R69" s="1"/>
      <c r="S69" s="1"/>
      <c r="T69" s="1"/>
      <c r="U69" s="1"/>
    </row>
    <row r="70" spans="2:21">
      <c r="B70" t="str">
        <f t="shared" si="6"/>
        <v/>
      </c>
      <c r="C70" s="155">
        <f>IF(D11="","-",+C69+1)</f>
        <v>2063</v>
      </c>
      <c r="D70" s="164">
        <f>IF(F69+SUM(E$17:E69)=D$10,F69,D$10-SUM(E$17:E69))</f>
        <v>0</v>
      </c>
      <c r="E70" s="162">
        <f>IF(+I14&lt;F69,I14,D70)</f>
        <v>0</v>
      </c>
      <c r="F70" s="161">
        <f t="shared" si="11"/>
        <v>0</v>
      </c>
      <c r="G70" s="165">
        <f t="shared" si="9"/>
        <v>0</v>
      </c>
      <c r="H70" s="145">
        <f t="shared" si="10"/>
        <v>0</v>
      </c>
      <c r="I70" s="158">
        <f t="shared" si="12"/>
        <v>0</v>
      </c>
      <c r="J70" s="158"/>
      <c r="K70" s="316"/>
      <c r="L70" s="160">
        <f t="shared" si="13"/>
        <v>0</v>
      </c>
      <c r="M70" s="316"/>
      <c r="N70" s="160">
        <f t="shared" si="14"/>
        <v>0</v>
      </c>
      <c r="O70" s="160">
        <f t="shared" si="15"/>
        <v>0</v>
      </c>
      <c r="P70" s="4"/>
      <c r="R70" s="1"/>
      <c r="S70" s="1"/>
      <c r="T70" s="1"/>
      <c r="U70" s="1"/>
    </row>
    <row r="71" spans="2:21">
      <c r="B71" t="str">
        <f t="shared" si="6"/>
        <v/>
      </c>
      <c r="C71" s="155">
        <f>IF(D11="","-",+C70+1)</f>
        <v>2064</v>
      </c>
      <c r="D71" s="164">
        <f>IF(F70+SUM(E$17:E70)=D$10,F70,D$10-SUM(E$17:E70))</f>
        <v>0</v>
      </c>
      <c r="E71" s="162">
        <f>IF(+I14&lt;F70,I14,D71)</f>
        <v>0</v>
      </c>
      <c r="F71" s="161">
        <f t="shared" si="11"/>
        <v>0</v>
      </c>
      <c r="G71" s="165">
        <f t="shared" si="9"/>
        <v>0</v>
      </c>
      <c r="H71" s="145">
        <f t="shared" si="10"/>
        <v>0</v>
      </c>
      <c r="I71" s="158">
        <f t="shared" si="12"/>
        <v>0</v>
      </c>
      <c r="J71" s="158"/>
      <c r="K71" s="316"/>
      <c r="L71" s="160">
        <f t="shared" si="13"/>
        <v>0</v>
      </c>
      <c r="M71" s="316"/>
      <c r="N71" s="160">
        <f t="shared" si="14"/>
        <v>0</v>
      </c>
      <c r="O71" s="160">
        <f t="shared" si="15"/>
        <v>0</v>
      </c>
      <c r="P71" s="4"/>
      <c r="R71" s="1"/>
      <c r="S71" s="1"/>
      <c r="T71" s="1"/>
      <c r="U71" s="1"/>
    </row>
    <row r="72" spans="2:21">
      <c r="B72" t="str">
        <f t="shared" si="6"/>
        <v/>
      </c>
      <c r="C72" s="155">
        <f>IF(D11="","-",+C71+1)</f>
        <v>2065</v>
      </c>
      <c r="D72" s="164">
        <f>IF(F71+SUM(E$17:E71)=D$10,F71,D$10-SUM(E$17:E71))</f>
        <v>0</v>
      </c>
      <c r="E72" s="162">
        <f>IF(+I14&lt;F71,I14,D72)</f>
        <v>0</v>
      </c>
      <c r="F72" s="161">
        <f t="shared" si="11"/>
        <v>0</v>
      </c>
      <c r="G72" s="165">
        <f t="shared" si="9"/>
        <v>0</v>
      </c>
      <c r="H72" s="145">
        <f t="shared" si="10"/>
        <v>0</v>
      </c>
      <c r="I72" s="158">
        <f t="shared" si="12"/>
        <v>0</v>
      </c>
      <c r="J72" s="158"/>
      <c r="K72" s="316"/>
      <c r="L72" s="160">
        <f t="shared" si="13"/>
        <v>0</v>
      </c>
      <c r="M72" s="316"/>
      <c r="N72" s="160">
        <f t="shared" si="14"/>
        <v>0</v>
      </c>
      <c r="O72" s="160">
        <f t="shared" si="15"/>
        <v>0</v>
      </c>
      <c r="P72" s="4"/>
      <c r="R72" s="1"/>
      <c r="S72" s="1"/>
      <c r="T72" s="1"/>
      <c r="U72" s="1"/>
    </row>
    <row r="73" spans="2:21" ht="13.5" thickBot="1">
      <c r="B73" t="str">
        <f t="shared" si="6"/>
        <v/>
      </c>
      <c r="C73" s="166">
        <f>IF(D11="","-",+C72+1)</f>
        <v>2066</v>
      </c>
      <c r="D73" s="349">
        <f>IF(F72+SUM(E$17:E72)=D$10,F72,D$10-SUM(E$17:E72))</f>
        <v>0</v>
      </c>
      <c r="E73" s="168">
        <f>IF(+I14&lt;F72,I14,D73)</f>
        <v>0</v>
      </c>
      <c r="F73" s="167">
        <f t="shared" si="11"/>
        <v>0</v>
      </c>
      <c r="G73" s="169">
        <f t="shared" si="9"/>
        <v>0</v>
      </c>
      <c r="H73" s="127">
        <f t="shared" si="10"/>
        <v>0</v>
      </c>
      <c r="I73" s="170">
        <f t="shared" si="12"/>
        <v>0</v>
      </c>
      <c r="J73" s="158"/>
      <c r="K73" s="317"/>
      <c r="L73" s="171">
        <f t="shared" si="13"/>
        <v>0</v>
      </c>
      <c r="M73" s="317"/>
      <c r="N73" s="171">
        <f t="shared" si="14"/>
        <v>0</v>
      </c>
      <c r="O73" s="171">
        <f t="shared" si="15"/>
        <v>0</v>
      </c>
      <c r="P73" s="4"/>
      <c r="R73" s="1"/>
      <c r="S73" s="1"/>
      <c r="T73" s="1"/>
      <c r="U73" s="1"/>
    </row>
    <row r="74" spans="2:21">
      <c r="C74" s="156" t="s">
        <v>75</v>
      </c>
      <c r="D74" s="112"/>
      <c r="E74" s="112">
        <f>SUM(E17:E73)</f>
        <v>985777.33999999973</v>
      </c>
      <c r="F74" s="112"/>
      <c r="G74" s="112">
        <f>SUM(G17:G73)</f>
        <v>3571016.2149384329</v>
      </c>
      <c r="H74" s="112">
        <f>SUM(H17:H73)</f>
        <v>3571016.2149384329</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1" t="str">
        <f ca="1">P1</f>
        <v>OKT Project 2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122865.36332508046</v>
      </c>
      <c r="N88" s="198">
        <f>IF(J93&lt;D11,0,VLOOKUP(J93,C17:O73,11))</f>
        <v>122865.36332508046</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115118.46379296975</v>
      </c>
      <c r="N89" s="200">
        <f>IF(J93&lt;D11,0,VLOOKUP(J93,C100:P155,7))</f>
        <v>115118.46379296975</v>
      </c>
      <c r="O89" s="201">
        <f>+N89-M89</f>
        <v>0</v>
      </c>
      <c r="P89" s="1"/>
      <c r="Q89" s="1"/>
      <c r="R89" s="1"/>
      <c r="S89" s="1"/>
      <c r="T89" s="1"/>
      <c r="U89" s="1"/>
    </row>
    <row r="90" spans="1:21" ht="13.5" thickBot="1">
      <c r="C90" s="124" t="s">
        <v>82</v>
      </c>
      <c r="D90" s="243" t="str">
        <f>+D7</f>
        <v>Coffeyville T to Dearing 138 kV Rebuild - 1.1 miles</v>
      </c>
      <c r="E90" s="1"/>
      <c r="F90" s="1"/>
      <c r="G90" s="1"/>
      <c r="H90" s="1"/>
      <c r="I90" s="3"/>
      <c r="J90" s="3"/>
      <c r="K90" s="256"/>
      <c r="L90" s="257" t="s">
        <v>135</v>
      </c>
      <c r="M90" s="203">
        <f>+M89-M88</f>
        <v>-7746.8995321107068</v>
      </c>
      <c r="N90" s="203">
        <f>+N89-N88</f>
        <v>-7746.8995321107068</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TP2008013</v>
      </c>
      <c r="E92" s="206"/>
      <c r="F92" s="206"/>
      <c r="G92" s="206"/>
      <c r="H92" s="206"/>
      <c r="I92" s="206"/>
      <c r="J92" s="206"/>
      <c r="K92" s="207"/>
      <c r="P92" s="134"/>
      <c r="Q92" s="1"/>
      <c r="R92" s="1"/>
      <c r="S92" s="1"/>
      <c r="T92" s="1"/>
      <c r="U92" s="1"/>
    </row>
    <row r="93" spans="1:21">
      <c r="C93" s="139" t="s">
        <v>49</v>
      </c>
      <c r="D93" s="136">
        <f>IF(D11=I10,0,D10)</f>
        <v>985777.34</v>
      </c>
      <c r="E93" s="23" t="s">
        <v>84</v>
      </c>
      <c r="H93" s="137"/>
      <c r="I93" s="137"/>
      <c r="J93" s="138">
        <f>+'OKT.WS.G.BPU.ATRR.True-up'!M16</f>
        <v>2018</v>
      </c>
      <c r="K93" s="133"/>
      <c r="L93" s="112" t="s">
        <v>85</v>
      </c>
      <c r="P93" s="4"/>
      <c r="Q93" s="1"/>
      <c r="R93" s="1"/>
      <c r="S93" s="1"/>
      <c r="T93" s="1"/>
      <c r="U93" s="1"/>
    </row>
    <row r="94" spans="1:21">
      <c r="C94" s="139" t="s">
        <v>52</v>
      </c>
      <c r="D94" s="218">
        <f>IF(D11=I10,"",D11)</f>
        <v>2010</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7">
        <f>IF(D11=I10,"",D12)</f>
        <v>6</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27382.703888888889</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319" t="s">
        <v>177</v>
      </c>
      <c r="M98" s="149" t="s">
        <v>89</v>
      </c>
      <c r="N98" s="319" t="s">
        <v>177</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 t="shared" ref="B100:B155" si="16">IF(D100=F99,"","IU")</f>
        <v>IU</v>
      </c>
      <c r="C100" s="155">
        <f>IF(D94= "","-",D94)</f>
        <v>2010</v>
      </c>
      <c r="D100" s="373">
        <v>0</v>
      </c>
      <c r="E100" s="375">
        <v>8464.310344827587</v>
      </c>
      <c r="F100" s="377">
        <v>973395.68965517241</v>
      </c>
      <c r="G100" s="378">
        <v>486697.8448275862</v>
      </c>
      <c r="H100" s="378">
        <v>173914.12278230567</v>
      </c>
      <c r="I100" s="378">
        <v>173914.12278230567</v>
      </c>
      <c r="J100" s="160">
        <f t="shared" ref="J100:J131" si="17">+I100-H100</f>
        <v>0</v>
      </c>
      <c r="K100" s="160"/>
      <c r="L100" s="344">
        <f t="shared" ref="L100:L105" si="18">H100</f>
        <v>173914.12278230567</v>
      </c>
      <c r="M100" s="345">
        <f>IF(L100&lt;&gt;0,+H100-L100,0)</f>
        <v>0</v>
      </c>
      <c r="N100" s="344">
        <f t="shared" ref="N100:N105" si="19">I100</f>
        <v>173914.12278230567</v>
      </c>
      <c r="O100" s="159">
        <f t="shared" ref="O100:O131" si="20">IF(N100&lt;&gt;0,+I100-N100,0)</f>
        <v>0</v>
      </c>
      <c r="P100" s="159">
        <f t="shared" ref="P100:P131" si="21">+O100-M100</f>
        <v>0</v>
      </c>
      <c r="Q100" s="1"/>
      <c r="R100" s="1"/>
      <c r="S100" s="1"/>
      <c r="T100" s="1"/>
      <c r="U100" s="1"/>
    </row>
    <row r="101" spans="1:21">
      <c r="B101" t="str">
        <f t="shared" si="16"/>
        <v/>
      </c>
      <c r="C101" s="155">
        <f>IF(D94="","-",+C100+1)</f>
        <v>2011</v>
      </c>
      <c r="D101" s="373">
        <v>973395.68965517241</v>
      </c>
      <c r="E101" s="375">
        <v>16996.161034482757</v>
      </c>
      <c r="F101" s="377">
        <v>956399.52862068964</v>
      </c>
      <c r="G101" s="377">
        <v>964897.60913793102</v>
      </c>
      <c r="H101" s="375">
        <v>88738.637904978968</v>
      </c>
      <c r="I101" s="376">
        <v>88738.637904978968</v>
      </c>
      <c r="J101" s="160">
        <v>0</v>
      </c>
      <c r="K101" s="160"/>
      <c r="L101" s="344">
        <f t="shared" si="18"/>
        <v>88738.637904978968</v>
      </c>
      <c r="M101" s="160">
        <f t="shared" ref="M101:M131" si="22">IF(L101&lt;&gt;0,+H101-L101,0)</f>
        <v>0</v>
      </c>
      <c r="N101" s="344">
        <f t="shared" si="19"/>
        <v>88738.637904978968</v>
      </c>
      <c r="O101" s="160">
        <f t="shared" si="20"/>
        <v>0</v>
      </c>
      <c r="P101" s="160">
        <f t="shared" si="21"/>
        <v>0</v>
      </c>
      <c r="Q101" s="1"/>
      <c r="R101" s="1"/>
      <c r="S101" s="1"/>
      <c r="T101" s="1"/>
      <c r="U101" s="1"/>
    </row>
    <row r="102" spans="1:21">
      <c r="B102" t="str">
        <f t="shared" si="16"/>
        <v>IU</v>
      </c>
      <c r="C102" s="155">
        <f>IF(D94="","-",+C101+1)</f>
        <v>2012</v>
      </c>
      <c r="D102" s="373">
        <v>960316.86862068961</v>
      </c>
      <c r="E102" s="375">
        <v>16996.161034482757</v>
      </c>
      <c r="F102" s="377">
        <v>943320.70758620685</v>
      </c>
      <c r="G102" s="377">
        <v>951818.78810344823</v>
      </c>
      <c r="H102" s="375">
        <v>113462.4664066085</v>
      </c>
      <c r="I102" s="376">
        <v>113462.4664066085</v>
      </c>
      <c r="J102" s="160">
        <v>0</v>
      </c>
      <c r="K102" s="160"/>
      <c r="L102" s="344">
        <f t="shared" si="18"/>
        <v>113462.4664066085</v>
      </c>
      <c r="M102" s="160">
        <f t="shared" ref="M102:M107" si="23">IF(L102&lt;&gt;0,+H102-L102,0)</f>
        <v>0</v>
      </c>
      <c r="N102" s="344">
        <f t="shared" si="19"/>
        <v>113462.4664066085</v>
      </c>
      <c r="O102" s="160">
        <f>IF(N102&lt;&gt;0,+I102-N102,0)</f>
        <v>0</v>
      </c>
      <c r="P102" s="160">
        <f>+O102-M102</f>
        <v>0</v>
      </c>
      <c r="Q102" s="1"/>
      <c r="R102" s="1"/>
      <c r="S102" s="1"/>
      <c r="T102" s="1"/>
      <c r="U102" s="1"/>
    </row>
    <row r="103" spans="1:21">
      <c r="B103" t="str">
        <f t="shared" si="16"/>
        <v/>
      </c>
      <c r="C103" s="155">
        <f>IF(D94="","-",+C102+1)</f>
        <v>2013</v>
      </c>
      <c r="D103" s="373">
        <v>943320.70758620685</v>
      </c>
      <c r="E103" s="375">
        <v>16996.161034482757</v>
      </c>
      <c r="F103" s="377">
        <v>926324.54655172408</v>
      </c>
      <c r="G103" s="377">
        <v>934822.62706896546</v>
      </c>
      <c r="H103" s="375">
        <v>123248.05893507614</v>
      </c>
      <c r="I103" s="376">
        <v>123248.05893507614</v>
      </c>
      <c r="J103" s="160">
        <v>0</v>
      </c>
      <c r="K103" s="160"/>
      <c r="L103" s="344">
        <f t="shared" si="18"/>
        <v>123248.05893507614</v>
      </c>
      <c r="M103" s="160">
        <f t="shared" si="23"/>
        <v>0</v>
      </c>
      <c r="N103" s="344">
        <f t="shared" si="19"/>
        <v>123248.05893507614</v>
      </c>
      <c r="O103" s="160">
        <f>IF(N103&lt;&gt;0,+I103-N103,0)</f>
        <v>0</v>
      </c>
      <c r="P103" s="160">
        <f>+O103-M103</f>
        <v>0</v>
      </c>
      <c r="Q103" s="1"/>
      <c r="R103" s="1"/>
      <c r="S103" s="1"/>
      <c r="T103" s="1"/>
      <c r="U103" s="1"/>
    </row>
    <row r="104" spans="1:21">
      <c r="B104" t="str">
        <f t="shared" si="16"/>
        <v/>
      </c>
      <c r="C104" s="155">
        <f>IF(D94="","-",+C103+1)</f>
        <v>2014</v>
      </c>
      <c r="D104" s="373">
        <v>926324.54655172408</v>
      </c>
      <c r="E104" s="375">
        <v>16996.161034482757</v>
      </c>
      <c r="F104" s="377">
        <v>909328.38551724132</v>
      </c>
      <c r="G104" s="377">
        <v>917826.4660344827</v>
      </c>
      <c r="H104" s="375">
        <v>115702.36527195803</v>
      </c>
      <c r="I104" s="376">
        <v>115702.36527195803</v>
      </c>
      <c r="J104" s="160">
        <v>0</v>
      </c>
      <c r="K104" s="160"/>
      <c r="L104" s="344">
        <f t="shared" si="18"/>
        <v>115702.36527195803</v>
      </c>
      <c r="M104" s="160">
        <f t="shared" si="23"/>
        <v>0</v>
      </c>
      <c r="N104" s="344">
        <f t="shared" si="19"/>
        <v>115702.36527195803</v>
      </c>
      <c r="O104" s="160">
        <f>IF(N104&lt;&gt;0,+I104-N104,0)</f>
        <v>0</v>
      </c>
      <c r="P104" s="160">
        <f>+O104-M104</f>
        <v>0</v>
      </c>
      <c r="Q104" s="1"/>
      <c r="R104" s="1"/>
      <c r="S104" s="1"/>
      <c r="T104" s="1"/>
      <c r="U104" s="1"/>
    </row>
    <row r="105" spans="1:21">
      <c r="B105" t="str">
        <f t="shared" si="16"/>
        <v/>
      </c>
      <c r="C105" s="155">
        <f>IF(D94="","-",+C104+1)</f>
        <v>2015</v>
      </c>
      <c r="D105" s="373">
        <v>909328.38551724132</v>
      </c>
      <c r="E105" s="375">
        <v>20537.027916666666</v>
      </c>
      <c r="F105" s="377">
        <v>888791.35760057461</v>
      </c>
      <c r="G105" s="377">
        <v>899059.87155890791</v>
      </c>
      <c r="H105" s="375">
        <v>120628.84968807173</v>
      </c>
      <c r="I105" s="376">
        <v>120628.84968807173</v>
      </c>
      <c r="J105" s="160">
        <f t="shared" si="17"/>
        <v>0</v>
      </c>
      <c r="K105" s="160"/>
      <c r="L105" s="344">
        <f t="shared" si="18"/>
        <v>120628.84968807173</v>
      </c>
      <c r="M105" s="160">
        <f t="shared" si="23"/>
        <v>0</v>
      </c>
      <c r="N105" s="344">
        <f t="shared" si="19"/>
        <v>120628.84968807173</v>
      </c>
      <c r="O105" s="160">
        <f t="shared" si="20"/>
        <v>0</v>
      </c>
      <c r="P105" s="160">
        <f t="shared" si="21"/>
        <v>0</v>
      </c>
      <c r="Q105" s="1"/>
      <c r="R105" s="1"/>
      <c r="S105" s="1"/>
      <c r="T105" s="1"/>
      <c r="U105" s="1"/>
    </row>
    <row r="106" spans="1:21">
      <c r="B106" t="str">
        <f t="shared" si="16"/>
        <v/>
      </c>
      <c r="C106" s="155">
        <f>IF(D94="","-",+C105+1)</f>
        <v>2016</v>
      </c>
      <c r="D106" s="373">
        <v>888791.35760057461</v>
      </c>
      <c r="E106" s="375">
        <v>19328.967450980392</v>
      </c>
      <c r="F106" s="377">
        <v>869462.39014959417</v>
      </c>
      <c r="G106" s="377">
        <v>879126.87387508433</v>
      </c>
      <c r="H106" s="375">
        <v>114599.47152988262</v>
      </c>
      <c r="I106" s="376">
        <v>114599.47152988262</v>
      </c>
      <c r="J106" s="160">
        <f t="shared" si="17"/>
        <v>0</v>
      </c>
      <c r="K106" s="160"/>
      <c r="L106" s="344">
        <f>H106</f>
        <v>114599.47152988262</v>
      </c>
      <c r="M106" s="160">
        <f t="shared" si="23"/>
        <v>0</v>
      </c>
      <c r="N106" s="344">
        <f>I106</f>
        <v>114599.47152988262</v>
      </c>
      <c r="O106" s="160">
        <f>IF(N106&lt;&gt;0,+I106-N106,0)</f>
        <v>0</v>
      </c>
      <c r="P106" s="160">
        <f>+O106-M106</f>
        <v>0</v>
      </c>
      <c r="Q106" s="1"/>
      <c r="R106" s="1"/>
      <c r="S106" s="1"/>
      <c r="T106" s="1"/>
      <c r="U106" s="1"/>
    </row>
    <row r="107" spans="1:21">
      <c r="B107" t="str">
        <f t="shared" si="16"/>
        <v/>
      </c>
      <c r="C107" s="155">
        <f>IF(D94="","-",+C106+1)</f>
        <v>2017</v>
      </c>
      <c r="D107" s="373">
        <v>869462.39014959417</v>
      </c>
      <c r="E107" s="375">
        <v>24644.433499999999</v>
      </c>
      <c r="F107" s="377">
        <v>844817.95664959413</v>
      </c>
      <c r="G107" s="377">
        <v>857140.17339959415</v>
      </c>
      <c r="H107" s="375">
        <v>125217.71649626724</v>
      </c>
      <c r="I107" s="376">
        <v>125217.71649626724</v>
      </c>
      <c r="J107" s="160">
        <f t="shared" si="17"/>
        <v>0</v>
      </c>
      <c r="K107" s="160"/>
      <c r="L107" s="344">
        <f>H107</f>
        <v>125217.71649626724</v>
      </c>
      <c r="M107" s="160">
        <f t="shared" si="23"/>
        <v>0</v>
      </c>
      <c r="N107" s="344">
        <f>I107</f>
        <v>125217.71649626724</v>
      </c>
      <c r="O107" s="160">
        <f>IF(N107&lt;&gt;0,+I107-N107,0)</f>
        <v>0</v>
      </c>
      <c r="P107" s="160">
        <f>+O107-M107</f>
        <v>0</v>
      </c>
      <c r="Q107" s="1"/>
      <c r="R107" s="1"/>
      <c r="S107" s="1"/>
      <c r="T107" s="1"/>
      <c r="U107" s="1"/>
    </row>
    <row r="108" spans="1:21">
      <c r="B108" t="str">
        <f t="shared" si="16"/>
        <v/>
      </c>
      <c r="C108" s="155">
        <f>IF(D94="","-",+C107+1)</f>
        <v>2018</v>
      </c>
      <c r="D108" s="156">
        <f>IF(F107+SUM(E$100:E107)=D$93,F107,D$93-SUM(E$100:E107))</f>
        <v>844817.95664959413</v>
      </c>
      <c r="E108" s="162">
        <f>IF(+J97&lt;F107,J97,D108)</f>
        <v>27382.703888888889</v>
      </c>
      <c r="F108" s="161">
        <f t="shared" ref="F108:F131" si="24">+D108-E108</f>
        <v>817435.25276070519</v>
      </c>
      <c r="G108" s="161">
        <f t="shared" ref="G108:G131" si="25">+(F108+D108)/2</f>
        <v>831126.60470514966</v>
      </c>
      <c r="H108" s="165">
        <f t="shared" ref="H108:H155" si="26">+J$95*G108+E108</f>
        <v>115118.46379296975</v>
      </c>
      <c r="I108" s="299">
        <f t="shared" ref="I108:I155" si="27">+J$96*G108+E108</f>
        <v>115118.46379296975</v>
      </c>
      <c r="J108" s="160">
        <f t="shared" si="17"/>
        <v>0</v>
      </c>
      <c r="K108" s="160"/>
      <c r="L108" s="316"/>
      <c r="M108" s="160">
        <f t="shared" si="22"/>
        <v>0</v>
      </c>
      <c r="N108" s="316"/>
      <c r="O108" s="160">
        <f t="shared" si="20"/>
        <v>0</v>
      </c>
      <c r="P108" s="160">
        <f t="shared" si="21"/>
        <v>0</v>
      </c>
      <c r="Q108" s="1"/>
      <c r="R108" s="1"/>
      <c r="S108" s="1"/>
      <c r="T108" s="1"/>
      <c r="U108" s="1"/>
    </row>
    <row r="109" spans="1:21">
      <c r="B109" t="str">
        <f t="shared" si="16"/>
        <v/>
      </c>
      <c r="C109" s="155">
        <f>IF(D94="","-",+C108+1)</f>
        <v>2019</v>
      </c>
      <c r="D109" s="156">
        <f>IF(F108+SUM(E$100:E108)=D$93,F108,D$93-SUM(E$100:E108))</f>
        <v>817435.25276070519</v>
      </c>
      <c r="E109" s="162">
        <f>IF(+J97&lt;F108,J97,D109)</f>
        <v>27382.703888888889</v>
      </c>
      <c r="F109" s="161">
        <f t="shared" si="24"/>
        <v>790052.54887181625</v>
      </c>
      <c r="G109" s="161">
        <f t="shared" si="25"/>
        <v>803743.90081626072</v>
      </c>
      <c r="H109" s="165">
        <f t="shared" si="26"/>
        <v>112227.87850750366</v>
      </c>
      <c r="I109" s="299">
        <f t="shared" si="27"/>
        <v>112227.87850750366</v>
      </c>
      <c r="J109" s="160">
        <f t="shared" si="17"/>
        <v>0</v>
      </c>
      <c r="K109" s="160"/>
      <c r="L109" s="316"/>
      <c r="M109" s="160">
        <f t="shared" si="22"/>
        <v>0</v>
      </c>
      <c r="N109" s="316"/>
      <c r="O109" s="160">
        <f t="shared" si="20"/>
        <v>0</v>
      </c>
      <c r="P109" s="160">
        <f t="shared" si="21"/>
        <v>0</v>
      </c>
      <c r="Q109" s="1"/>
      <c r="R109" s="1"/>
      <c r="S109" s="1"/>
      <c r="T109" s="1"/>
      <c r="U109" s="1"/>
    </row>
    <row r="110" spans="1:21">
      <c r="B110" t="str">
        <f t="shared" si="16"/>
        <v/>
      </c>
      <c r="C110" s="155">
        <f>IF(D94="","-",+C109+1)</f>
        <v>2020</v>
      </c>
      <c r="D110" s="156">
        <f>IF(F109+SUM(E$100:E109)=D$93,F109,D$93-SUM(E$100:E109))</f>
        <v>790052.54887181625</v>
      </c>
      <c r="E110" s="162">
        <f>IF(+J97&lt;F109,J97,D110)</f>
        <v>27382.703888888889</v>
      </c>
      <c r="F110" s="161">
        <f t="shared" si="24"/>
        <v>762669.84498292732</v>
      </c>
      <c r="G110" s="161">
        <f t="shared" si="25"/>
        <v>776361.19692737178</v>
      </c>
      <c r="H110" s="165">
        <f t="shared" si="26"/>
        <v>109337.29322203757</v>
      </c>
      <c r="I110" s="299">
        <f t="shared" si="27"/>
        <v>109337.29322203757</v>
      </c>
      <c r="J110" s="160">
        <f t="shared" si="17"/>
        <v>0</v>
      </c>
      <c r="K110" s="160"/>
      <c r="L110" s="316"/>
      <c r="M110" s="160">
        <f t="shared" si="22"/>
        <v>0</v>
      </c>
      <c r="N110" s="316"/>
      <c r="O110" s="160">
        <f t="shared" si="20"/>
        <v>0</v>
      </c>
      <c r="P110" s="160">
        <f t="shared" si="21"/>
        <v>0</v>
      </c>
      <c r="Q110" s="1"/>
      <c r="R110" s="1"/>
      <c r="S110" s="1"/>
      <c r="T110" s="1"/>
      <c r="U110" s="1"/>
    </row>
    <row r="111" spans="1:21">
      <c r="B111" t="str">
        <f t="shared" si="16"/>
        <v/>
      </c>
      <c r="C111" s="155">
        <f>IF(D94="","-",+C110+1)</f>
        <v>2021</v>
      </c>
      <c r="D111" s="156">
        <f>IF(F110+SUM(E$100:E110)=D$93,F110,D$93-SUM(E$100:E110))</f>
        <v>762669.84498292732</v>
      </c>
      <c r="E111" s="162">
        <f>IF(+J97&lt;F110,J97,D111)</f>
        <v>27382.703888888889</v>
      </c>
      <c r="F111" s="161">
        <f t="shared" si="24"/>
        <v>735287.14109403838</v>
      </c>
      <c r="G111" s="161">
        <f t="shared" si="25"/>
        <v>748978.49303848285</v>
      </c>
      <c r="H111" s="165">
        <f t="shared" si="26"/>
        <v>106446.70793657147</v>
      </c>
      <c r="I111" s="299">
        <f t="shared" si="27"/>
        <v>106446.70793657147</v>
      </c>
      <c r="J111" s="160">
        <f t="shared" si="17"/>
        <v>0</v>
      </c>
      <c r="K111" s="160"/>
      <c r="L111" s="316"/>
      <c r="M111" s="160">
        <f t="shared" si="22"/>
        <v>0</v>
      </c>
      <c r="N111" s="316"/>
      <c r="O111" s="160">
        <f t="shared" si="20"/>
        <v>0</v>
      </c>
      <c r="P111" s="160">
        <f t="shared" si="21"/>
        <v>0</v>
      </c>
      <c r="Q111" s="1"/>
      <c r="R111" s="1"/>
      <c r="S111" s="1"/>
      <c r="T111" s="1"/>
      <c r="U111" s="1"/>
    </row>
    <row r="112" spans="1:21">
      <c r="B112" t="str">
        <f t="shared" si="16"/>
        <v/>
      </c>
      <c r="C112" s="155">
        <f>IF(D94="","-",+C111+1)</f>
        <v>2022</v>
      </c>
      <c r="D112" s="156">
        <f>IF(F111+SUM(E$100:E111)=D$93,F111,D$93-SUM(E$100:E111))</f>
        <v>735287.14109403838</v>
      </c>
      <c r="E112" s="162">
        <f>IF(+J97&lt;F111,J97,D112)</f>
        <v>27382.703888888889</v>
      </c>
      <c r="F112" s="161">
        <f t="shared" si="24"/>
        <v>707904.43720514944</v>
      </c>
      <c r="G112" s="161">
        <f t="shared" si="25"/>
        <v>721595.78914959391</v>
      </c>
      <c r="H112" s="165">
        <f t="shared" si="26"/>
        <v>103556.12265110537</v>
      </c>
      <c r="I112" s="299">
        <f t="shared" si="27"/>
        <v>103556.12265110537</v>
      </c>
      <c r="J112" s="160">
        <f t="shared" si="17"/>
        <v>0</v>
      </c>
      <c r="K112" s="160"/>
      <c r="L112" s="316"/>
      <c r="M112" s="160">
        <f t="shared" si="22"/>
        <v>0</v>
      </c>
      <c r="N112" s="316"/>
      <c r="O112" s="160">
        <f t="shared" si="20"/>
        <v>0</v>
      </c>
      <c r="P112" s="160">
        <f t="shared" si="21"/>
        <v>0</v>
      </c>
      <c r="Q112" s="1"/>
      <c r="R112" s="1"/>
      <c r="S112" s="1"/>
      <c r="T112" s="1"/>
      <c r="U112" s="1"/>
    </row>
    <row r="113" spans="2:21">
      <c r="B113" t="str">
        <f t="shared" si="16"/>
        <v/>
      </c>
      <c r="C113" s="155">
        <f>IF(D94="","-",+C112+1)</f>
        <v>2023</v>
      </c>
      <c r="D113" s="156">
        <f>IF(F112+SUM(E$100:E112)=D$93,F112,D$93-SUM(E$100:E112))</f>
        <v>707904.43720514944</v>
      </c>
      <c r="E113" s="162">
        <f>IF(+J97&lt;F112,J97,D113)</f>
        <v>27382.703888888889</v>
      </c>
      <c r="F113" s="161">
        <f t="shared" si="24"/>
        <v>680521.73331626051</v>
      </c>
      <c r="G113" s="161">
        <f t="shared" si="25"/>
        <v>694213.08526070497</v>
      </c>
      <c r="H113" s="165">
        <f t="shared" si="26"/>
        <v>100665.53736563928</v>
      </c>
      <c r="I113" s="299">
        <f t="shared" si="27"/>
        <v>100665.53736563928</v>
      </c>
      <c r="J113" s="160">
        <f t="shared" si="17"/>
        <v>0</v>
      </c>
      <c r="K113" s="160"/>
      <c r="L113" s="316"/>
      <c r="M113" s="160">
        <f t="shared" si="22"/>
        <v>0</v>
      </c>
      <c r="N113" s="316"/>
      <c r="O113" s="160">
        <f t="shared" si="20"/>
        <v>0</v>
      </c>
      <c r="P113" s="160">
        <f t="shared" si="21"/>
        <v>0</v>
      </c>
      <c r="Q113" s="1"/>
      <c r="R113" s="1"/>
      <c r="S113" s="1"/>
      <c r="T113" s="1"/>
      <c r="U113" s="1"/>
    </row>
    <row r="114" spans="2:21">
      <c r="B114" t="str">
        <f t="shared" si="16"/>
        <v/>
      </c>
      <c r="C114" s="155">
        <f>IF(D94="","-",+C113+1)</f>
        <v>2024</v>
      </c>
      <c r="D114" s="156">
        <f>IF(F113+SUM(E$100:E113)=D$93,F113,D$93-SUM(E$100:E113))</f>
        <v>680521.73331626109</v>
      </c>
      <c r="E114" s="162">
        <f>IF(+J97&lt;F113,J97,D114)</f>
        <v>27382.703888888889</v>
      </c>
      <c r="F114" s="161">
        <f t="shared" si="24"/>
        <v>653139.02942737215</v>
      </c>
      <c r="G114" s="161">
        <f t="shared" si="25"/>
        <v>666830.38137181662</v>
      </c>
      <c r="H114" s="165">
        <f t="shared" si="26"/>
        <v>97774.952080173243</v>
      </c>
      <c r="I114" s="299">
        <f t="shared" si="27"/>
        <v>97774.952080173243</v>
      </c>
      <c r="J114" s="160">
        <f t="shared" si="17"/>
        <v>0</v>
      </c>
      <c r="K114" s="160"/>
      <c r="L114" s="316"/>
      <c r="M114" s="160">
        <f t="shared" si="22"/>
        <v>0</v>
      </c>
      <c r="N114" s="316"/>
      <c r="O114" s="160">
        <f t="shared" si="20"/>
        <v>0</v>
      </c>
      <c r="P114" s="160">
        <f t="shared" si="21"/>
        <v>0</v>
      </c>
      <c r="Q114" s="1"/>
      <c r="R114" s="1"/>
      <c r="S114" s="1"/>
      <c r="T114" s="1"/>
      <c r="U114" s="1"/>
    </row>
    <row r="115" spans="2:21">
      <c r="B115" t="str">
        <f t="shared" si="16"/>
        <v/>
      </c>
      <c r="C115" s="155">
        <f>IF(D94="","-",+C114+1)</f>
        <v>2025</v>
      </c>
      <c r="D115" s="156">
        <f>IF(F114+SUM(E$100:E114)=D$93,F114,D$93-SUM(E$100:E114))</f>
        <v>653139.02942737215</v>
      </c>
      <c r="E115" s="162">
        <f>IF(+J97&lt;F114,J97,D115)</f>
        <v>27382.703888888889</v>
      </c>
      <c r="F115" s="161">
        <f t="shared" si="24"/>
        <v>625756.32553848322</v>
      </c>
      <c r="G115" s="161">
        <f t="shared" si="25"/>
        <v>639447.67748292768</v>
      </c>
      <c r="H115" s="165">
        <f t="shared" si="26"/>
        <v>94884.366794707152</v>
      </c>
      <c r="I115" s="299">
        <f t="shared" si="27"/>
        <v>94884.366794707152</v>
      </c>
      <c r="J115" s="160">
        <f t="shared" si="17"/>
        <v>0</v>
      </c>
      <c r="K115" s="160"/>
      <c r="L115" s="316"/>
      <c r="M115" s="160">
        <f t="shared" si="22"/>
        <v>0</v>
      </c>
      <c r="N115" s="316"/>
      <c r="O115" s="160">
        <f t="shared" si="20"/>
        <v>0</v>
      </c>
      <c r="P115" s="160">
        <f t="shared" si="21"/>
        <v>0</v>
      </c>
      <c r="Q115" s="1"/>
      <c r="R115" s="1"/>
      <c r="S115" s="1"/>
      <c r="T115" s="1"/>
      <c r="U115" s="1"/>
    </row>
    <row r="116" spans="2:21">
      <c r="B116" t="str">
        <f t="shared" si="16"/>
        <v/>
      </c>
      <c r="C116" s="155">
        <f>IF(D94="","-",+C115+1)</f>
        <v>2026</v>
      </c>
      <c r="D116" s="156">
        <f>IF(F115+SUM(E$100:E115)=D$93,F115,D$93-SUM(E$100:E115))</f>
        <v>625756.32553848322</v>
      </c>
      <c r="E116" s="162">
        <f>IF(+J97&lt;F115,J97,D116)</f>
        <v>27382.703888888889</v>
      </c>
      <c r="F116" s="161">
        <f t="shared" si="24"/>
        <v>598373.62164959428</v>
      </c>
      <c r="G116" s="161">
        <f t="shared" si="25"/>
        <v>612064.97359403875</v>
      </c>
      <c r="H116" s="165">
        <f t="shared" si="26"/>
        <v>91993.78150924106</v>
      </c>
      <c r="I116" s="299">
        <f t="shared" si="27"/>
        <v>91993.78150924106</v>
      </c>
      <c r="J116" s="160">
        <f t="shared" si="17"/>
        <v>0</v>
      </c>
      <c r="K116" s="160"/>
      <c r="L116" s="316"/>
      <c r="M116" s="160">
        <f t="shared" si="22"/>
        <v>0</v>
      </c>
      <c r="N116" s="316"/>
      <c r="O116" s="160">
        <f t="shared" si="20"/>
        <v>0</v>
      </c>
      <c r="P116" s="160">
        <f t="shared" si="21"/>
        <v>0</v>
      </c>
      <c r="Q116" s="1"/>
      <c r="R116" s="1"/>
      <c r="S116" s="1"/>
      <c r="T116" s="1"/>
      <c r="U116" s="1"/>
    </row>
    <row r="117" spans="2:21">
      <c r="B117" t="str">
        <f t="shared" si="16"/>
        <v/>
      </c>
      <c r="C117" s="155">
        <f>IF(D94="","-",+C116+1)</f>
        <v>2027</v>
      </c>
      <c r="D117" s="156">
        <f>IF(F116+SUM(E$100:E116)=D$93,F116,D$93-SUM(E$100:E116))</f>
        <v>598373.62164959428</v>
      </c>
      <c r="E117" s="162">
        <f>IF(+J97&lt;F116,J97,D117)</f>
        <v>27382.703888888889</v>
      </c>
      <c r="F117" s="161">
        <f t="shared" si="24"/>
        <v>570990.91776070534</v>
      </c>
      <c r="G117" s="161">
        <f t="shared" si="25"/>
        <v>584682.26970514981</v>
      </c>
      <c r="H117" s="165">
        <f t="shared" si="26"/>
        <v>89103.196223774954</v>
      </c>
      <c r="I117" s="299">
        <f t="shared" si="27"/>
        <v>89103.196223774954</v>
      </c>
      <c r="J117" s="160">
        <f t="shared" si="17"/>
        <v>0</v>
      </c>
      <c r="K117" s="160"/>
      <c r="L117" s="316"/>
      <c r="M117" s="160">
        <f t="shared" si="22"/>
        <v>0</v>
      </c>
      <c r="N117" s="316"/>
      <c r="O117" s="160">
        <f t="shared" si="20"/>
        <v>0</v>
      </c>
      <c r="P117" s="160">
        <f t="shared" si="21"/>
        <v>0</v>
      </c>
      <c r="Q117" s="1"/>
      <c r="R117" s="1"/>
      <c r="S117" s="1"/>
      <c r="T117" s="1"/>
      <c r="U117" s="1"/>
    </row>
    <row r="118" spans="2:21">
      <c r="B118" t="str">
        <f t="shared" si="16"/>
        <v/>
      </c>
      <c r="C118" s="155">
        <f>IF(D94="","-",+C117+1)</f>
        <v>2028</v>
      </c>
      <c r="D118" s="156">
        <f>IF(F117+SUM(E$100:E117)=D$93,F117,D$93-SUM(E$100:E117))</f>
        <v>570990.91776070534</v>
      </c>
      <c r="E118" s="162">
        <f>IF(+J97&lt;F117,J97,D118)</f>
        <v>27382.703888888889</v>
      </c>
      <c r="F118" s="161">
        <f t="shared" si="24"/>
        <v>543608.21387181641</v>
      </c>
      <c r="G118" s="161">
        <f t="shared" si="25"/>
        <v>557299.56581626087</v>
      </c>
      <c r="H118" s="165">
        <f t="shared" si="26"/>
        <v>86212.610938308862</v>
      </c>
      <c r="I118" s="299">
        <f t="shared" si="27"/>
        <v>86212.610938308862</v>
      </c>
      <c r="J118" s="160">
        <f t="shared" si="17"/>
        <v>0</v>
      </c>
      <c r="K118" s="160"/>
      <c r="L118" s="316"/>
      <c r="M118" s="160">
        <f t="shared" si="22"/>
        <v>0</v>
      </c>
      <c r="N118" s="316"/>
      <c r="O118" s="160">
        <f t="shared" si="20"/>
        <v>0</v>
      </c>
      <c r="P118" s="160">
        <f t="shared" si="21"/>
        <v>0</v>
      </c>
      <c r="Q118" s="1"/>
      <c r="R118" s="1"/>
      <c r="S118" s="1"/>
      <c r="T118" s="1"/>
      <c r="U118" s="1"/>
    </row>
    <row r="119" spans="2:21">
      <c r="B119" t="str">
        <f t="shared" si="16"/>
        <v/>
      </c>
      <c r="C119" s="155">
        <f>IF(D94="","-",+C118+1)</f>
        <v>2029</v>
      </c>
      <c r="D119" s="156">
        <f>IF(F118+SUM(E$100:E118)=D$93,F118,D$93-SUM(E$100:E118))</f>
        <v>543608.21387181641</v>
      </c>
      <c r="E119" s="162">
        <f>IF(+J97&lt;F118,J97,D119)</f>
        <v>27382.703888888889</v>
      </c>
      <c r="F119" s="161">
        <f t="shared" si="24"/>
        <v>516225.50998292753</v>
      </c>
      <c r="G119" s="161">
        <f t="shared" si="25"/>
        <v>529916.86192737194</v>
      </c>
      <c r="H119" s="165">
        <f t="shared" si="26"/>
        <v>83322.025652842771</v>
      </c>
      <c r="I119" s="299">
        <f t="shared" si="27"/>
        <v>83322.025652842771</v>
      </c>
      <c r="J119" s="160">
        <f t="shared" si="17"/>
        <v>0</v>
      </c>
      <c r="K119" s="160"/>
      <c r="L119" s="316"/>
      <c r="M119" s="160">
        <f t="shared" si="22"/>
        <v>0</v>
      </c>
      <c r="N119" s="316"/>
      <c r="O119" s="160">
        <f t="shared" si="20"/>
        <v>0</v>
      </c>
      <c r="P119" s="160">
        <f t="shared" si="21"/>
        <v>0</v>
      </c>
      <c r="Q119" s="1"/>
      <c r="R119" s="1"/>
      <c r="S119" s="1"/>
      <c r="T119" s="1"/>
      <c r="U119" s="1"/>
    </row>
    <row r="120" spans="2:21">
      <c r="B120" t="str">
        <f t="shared" si="16"/>
        <v/>
      </c>
      <c r="C120" s="155">
        <f>IF(D94="","-",+C119+1)</f>
        <v>2030</v>
      </c>
      <c r="D120" s="156">
        <f>IF(F119+SUM(E$100:E119)=D$93,F119,D$93-SUM(E$100:E119))</f>
        <v>516225.50998292753</v>
      </c>
      <c r="E120" s="162">
        <f>IF(+J97&lt;F119,J97,D120)</f>
        <v>27382.703888888889</v>
      </c>
      <c r="F120" s="161">
        <f t="shared" si="24"/>
        <v>488842.80609403865</v>
      </c>
      <c r="G120" s="161">
        <f t="shared" si="25"/>
        <v>502534.15803848312</v>
      </c>
      <c r="H120" s="165">
        <f t="shared" si="26"/>
        <v>80431.440367376694</v>
      </c>
      <c r="I120" s="299">
        <f t="shared" si="27"/>
        <v>80431.440367376694</v>
      </c>
      <c r="J120" s="160">
        <f t="shared" si="17"/>
        <v>0</v>
      </c>
      <c r="K120" s="160"/>
      <c r="L120" s="316"/>
      <c r="M120" s="160">
        <f t="shared" si="22"/>
        <v>0</v>
      </c>
      <c r="N120" s="316"/>
      <c r="O120" s="160">
        <f t="shared" si="20"/>
        <v>0</v>
      </c>
      <c r="P120" s="160">
        <f t="shared" si="21"/>
        <v>0</v>
      </c>
      <c r="Q120" s="1"/>
      <c r="R120" s="1"/>
      <c r="S120" s="1"/>
      <c r="T120" s="1"/>
      <c r="U120" s="1"/>
    </row>
    <row r="121" spans="2:21">
      <c r="B121" t="str">
        <f t="shared" si="16"/>
        <v/>
      </c>
      <c r="C121" s="155">
        <f>IF(D94="","-",+C120+1)</f>
        <v>2031</v>
      </c>
      <c r="D121" s="156">
        <f>IF(F120+SUM(E$100:E120)=D$93,F120,D$93-SUM(E$100:E120))</f>
        <v>488842.80609403865</v>
      </c>
      <c r="E121" s="162">
        <f>IF(+J97&lt;F120,J97,D121)</f>
        <v>27382.703888888889</v>
      </c>
      <c r="F121" s="161">
        <f t="shared" si="24"/>
        <v>461460.10220514977</v>
      </c>
      <c r="G121" s="161">
        <f t="shared" si="25"/>
        <v>475151.45414959418</v>
      </c>
      <c r="H121" s="165">
        <f t="shared" si="26"/>
        <v>77540.855081910588</v>
      </c>
      <c r="I121" s="299">
        <f t="shared" si="27"/>
        <v>77540.855081910588</v>
      </c>
      <c r="J121" s="160">
        <f t="shared" si="17"/>
        <v>0</v>
      </c>
      <c r="K121" s="160"/>
      <c r="L121" s="316"/>
      <c r="M121" s="160">
        <f t="shared" si="22"/>
        <v>0</v>
      </c>
      <c r="N121" s="316"/>
      <c r="O121" s="160">
        <f t="shared" si="20"/>
        <v>0</v>
      </c>
      <c r="P121" s="160">
        <f t="shared" si="21"/>
        <v>0</v>
      </c>
      <c r="Q121" s="1"/>
      <c r="R121" s="1"/>
      <c r="S121" s="1"/>
      <c r="T121" s="1"/>
      <c r="U121" s="1"/>
    </row>
    <row r="122" spans="2:21">
      <c r="B122" t="str">
        <f t="shared" si="16"/>
        <v/>
      </c>
      <c r="C122" s="155">
        <f>IF(D94="","-",+C121+1)</f>
        <v>2032</v>
      </c>
      <c r="D122" s="156">
        <f>IF(F121+SUM(E$100:E121)=D$93,F121,D$93-SUM(E$100:E121))</f>
        <v>461460.10220514977</v>
      </c>
      <c r="E122" s="162">
        <f>IF(+J97&lt;F121,J97,D122)</f>
        <v>27382.703888888889</v>
      </c>
      <c r="F122" s="161">
        <f t="shared" si="24"/>
        <v>434077.39831626089</v>
      </c>
      <c r="G122" s="161">
        <f t="shared" si="25"/>
        <v>447768.75026070536</v>
      </c>
      <c r="H122" s="165">
        <f t="shared" si="26"/>
        <v>74650.269796444511</v>
      </c>
      <c r="I122" s="299">
        <f t="shared" si="27"/>
        <v>74650.269796444511</v>
      </c>
      <c r="J122" s="160">
        <f t="shared" si="17"/>
        <v>0</v>
      </c>
      <c r="K122" s="160"/>
      <c r="L122" s="316"/>
      <c r="M122" s="160">
        <f t="shared" si="22"/>
        <v>0</v>
      </c>
      <c r="N122" s="316"/>
      <c r="O122" s="160">
        <f t="shared" si="20"/>
        <v>0</v>
      </c>
      <c r="P122" s="160">
        <f t="shared" si="21"/>
        <v>0</v>
      </c>
      <c r="Q122" s="1"/>
      <c r="R122" s="1"/>
      <c r="S122" s="1"/>
      <c r="T122" s="1"/>
      <c r="U122" s="1"/>
    </row>
    <row r="123" spans="2:21">
      <c r="B123" t="str">
        <f t="shared" si="16"/>
        <v/>
      </c>
      <c r="C123" s="155">
        <f>IF(D94="","-",+C122+1)</f>
        <v>2033</v>
      </c>
      <c r="D123" s="156">
        <f>IF(F122+SUM(E$100:E122)=D$93,F122,D$93-SUM(E$100:E122))</f>
        <v>434077.39831626089</v>
      </c>
      <c r="E123" s="162">
        <f>IF(+J97&lt;F122,J97,D123)</f>
        <v>27382.703888888889</v>
      </c>
      <c r="F123" s="161">
        <f t="shared" si="24"/>
        <v>406694.69442737201</v>
      </c>
      <c r="G123" s="161">
        <f t="shared" si="25"/>
        <v>420386.04637181642</v>
      </c>
      <c r="H123" s="165">
        <f t="shared" si="26"/>
        <v>71759.684510978419</v>
      </c>
      <c r="I123" s="299">
        <f t="shared" si="27"/>
        <v>71759.684510978419</v>
      </c>
      <c r="J123" s="160">
        <f t="shared" si="17"/>
        <v>0</v>
      </c>
      <c r="K123" s="160"/>
      <c r="L123" s="316"/>
      <c r="M123" s="160">
        <f t="shared" si="22"/>
        <v>0</v>
      </c>
      <c r="N123" s="316"/>
      <c r="O123" s="160">
        <f t="shared" si="20"/>
        <v>0</v>
      </c>
      <c r="P123" s="160">
        <f t="shared" si="21"/>
        <v>0</v>
      </c>
      <c r="Q123" s="1"/>
      <c r="R123" s="1"/>
      <c r="S123" s="1"/>
      <c r="T123" s="1"/>
      <c r="U123" s="1"/>
    </row>
    <row r="124" spans="2:21">
      <c r="B124" t="str">
        <f t="shared" si="16"/>
        <v/>
      </c>
      <c r="C124" s="155">
        <f>IF(D94="","-",+C123+1)</f>
        <v>2034</v>
      </c>
      <c r="D124" s="156">
        <f>IF(F123+SUM(E$100:E123)=D$93,F123,D$93-SUM(E$100:E123))</f>
        <v>406694.69442737201</v>
      </c>
      <c r="E124" s="162">
        <f>IF(+J97&lt;F123,J97,D124)</f>
        <v>27382.703888888889</v>
      </c>
      <c r="F124" s="161">
        <f t="shared" si="24"/>
        <v>379311.99053848314</v>
      </c>
      <c r="G124" s="161">
        <f t="shared" si="25"/>
        <v>393003.3424829276</v>
      </c>
      <c r="H124" s="165">
        <f t="shared" si="26"/>
        <v>68869.099225512327</v>
      </c>
      <c r="I124" s="299">
        <f t="shared" si="27"/>
        <v>68869.099225512327</v>
      </c>
      <c r="J124" s="160">
        <f t="shared" si="17"/>
        <v>0</v>
      </c>
      <c r="K124" s="160"/>
      <c r="L124" s="316"/>
      <c r="M124" s="160">
        <f t="shared" si="22"/>
        <v>0</v>
      </c>
      <c r="N124" s="316"/>
      <c r="O124" s="160">
        <f t="shared" si="20"/>
        <v>0</v>
      </c>
      <c r="P124" s="160">
        <f t="shared" si="21"/>
        <v>0</v>
      </c>
      <c r="Q124" s="1"/>
      <c r="R124" s="1"/>
      <c r="S124" s="1"/>
      <c r="T124" s="1"/>
      <c r="U124" s="1"/>
    </row>
    <row r="125" spans="2:21">
      <c r="B125" t="str">
        <f t="shared" si="16"/>
        <v/>
      </c>
      <c r="C125" s="155">
        <f>IF(D94="","-",+C124+1)</f>
        <v>2035</v>
      </c>
      <c r="D125" s="156">
        <f>IF(F124+SUM(E$100:E124)=D$93,F124,D$93-SUM(E$100:E124))</f>
        <v>379311.99053848314</v>
      </c>
      <c r="E125" s="162">
        <f>IF(+J97&lt;F124,J97,D125)</f>
        <v>27382.703888888889</v>
      </c>
      <c r="F125" s="161">
        <f t="shared" si="24"/>
        <v>351929.28664959426</v>
      </c>
      <c r="G125" s="161">
        <f t="shared" si="25"/>
        <v>365620.63859403867</v>
      </c>
      <c r="H125" s="165">
        <f t="shared" si="26"/>
        <v>65978.513940046236</v>
      </c>
      <c r="I125" s="299">
        <f t="shared" si="27"/>
        <v>65978.513940046236</v>
      </c>
      <c r="J125" s="160">
        <f t="shared" si="17"/>
        <v>0</v>
      </c>
      <c r="K125" s="160"/>
      <c r="L125" s="316"/>
      <c r="M125" s="160">
        <f t="shared" si="22"/>
        <v>0</v>
      </c>
      <c r="N125" s="316"/>
      <c r="O125" s="160">
        <f t="shared" si="20"/>
        <v>0</v>
      </c>
      <c r="P125" s="160">
        <f t="shared" si="21"/>
        <v>0</v>
      </c>
      <c r="Q125" s="1"/>
      <c r="R125" s="1"/>
      <c r="S125" s="1"/>
      <c r="T125" s="1"/>
      <c r="U125" s="1"/>
    </row>
    <row r="126" spans="2:21">
      <c r="B126" t="str">
        <f t="shared" si="16"/>
        <v/>
      </c>
      <c r="C126" s="155">
        <f>IF(D94="","-",+C125+1)</f>
        <v>2036</v>
      </c>
      <c r="D126" s="156">
        <f>IF(F125+SUM(E$100:E125)=D$93,F125,D$93-SUM(E$100:E125))</f>
        <v>351929.28664959426</v>
      </c>
      <c r="E126" s="162">
        <f>IF(+J97&lt;F125,J97,D126)</f>
        <v>27382.703888888889</v>
      </c>
      <c r="F126" s="161">
        <f t="shared" si="24"/>
        <v>324546.58276070538</v>
      </c>
      <c r="G126" s="161">
        <f t="shared" si="25"/>
        <v>338237.93470514985</v>
      </c>
      <c r="H126" s="165">
        <f t="shared" si="26"/>
        <v>63087.928654580159</v>
      </c>
      <c r="I126" s="299">
        <f t="shared" si="27"/>
        <v>63087.928654580159</v>
      </c>
      <c r="J126" s="160">
        <f t="shared" si="17"/>
        <v>0</v>
      </c>
      <c r="K126" s="160"/>
      <c r="L126" s="316"/>
      <c r="M126" s="160">
        <f t="shared" si="22"/>
        <v>0</v>
      </c>
      <c r="N126" s="316"/>
      <c r="O126" s="160">
        <f t="shared" si="20"/>
        <v>0</v>
      </c>
      <c r="P126" s="160">
        <f t="shared" si="21"/>
        <v>0</v>
      </c>
      <c r="Q126" s="1"/>
      <c r="R126" s="1"/>
      <c r="S126" s="1"/>
      <c r="T126" s="1"/>
      <c r="U126" s="1"/>
    </row>
    <row r="127" spans="2:21">
      <c r="B127" t="str">
        <f t="shared" si="16"/>
        <v/>
      </c>
      <c r="C127" s="155">
        <f>IF(D94="","-",+C126+1)</f>
        <v>2037</v>
      </c>
      <c r="D127" s="156">
        <f>IF(F126+SUM(E$100:E126)=D$93,F126,D$93-SUM(E$100:E126))</f>
        <v>324546.58276070538</v>
      </c>
      <c r="E127" s="162">
        <f>IF(+J97&lt;F126,J97,D127)</f>
        <v>27382.703888888889</v>
      </c>
      <c r="F127" s="161">
        <f t="shared" si="24"/>
        <v>297163.8788718165</v>
      </c>
      <c r="G127" s="161">
        <f t="shared" si="25"/>
        <v>310855.23081626091</v>
      </c>
      <c r="H127" s="165">
        <f t="shared" si="26"/>
        <v>60197.343369114067</v>
      </c>
      <c r="I127" s="299">
        <f t="shared" si="27"/>
        <v>60197.343369114067</v>
      </c>
      <c r="J127" s="160">
        <f t="shared" si="17"/>
        <v>0</v>
      </c>
      <c r="K127" s="160"/>
      <c r="L127" s="316"/>
      <c r="M127" s="160">
        <f t="shared" si="22"/>
        <v>0</v>
      </c>
      <c r="N127" s="316"/>
      <c r="O127" s="160">
        <f t="shared" si="20"/>
        <v>0</v>
      </c>
      <c r="P127" s="160">
        <f t="shared" si="21"/>
        <v>0</v>
      </c>
      <c r="Q127" s="1"/>
      <c r="R127" s="1"/>
      <c r="S127" s="1"/>
      <c r="T127" s="1"/>
      <c r="U127" s="1"/>
    </row>
    <row r="128" spans="2:21">
      <c r="B128" t="str">
        <f t="shared" si="16"/>
        <v/>
      </c>
      <c r="C128" s="155">
        <f>IF(D94="","-",+C127+1)</f>
        <v>2038</v>
      </c>
      <c r="D128" s="156">
        <f>IF(F127+SUM(E$100:E127)=D$93,F127,D$93-SUM(E$100:E127))</f>
        <v>297163.8788718165</v>
      </c>
      <c r="E128" s="162">
        <f>IF(+J97&lt;F127,J97,D128)</f>
        <v>27382.703888888889</v>
      </c>
      <c r="F128" s="161">
        <f t="shared" si="24"/>
        <v>269781.17498292762</v>
      </c>
      <c r="G128" s="161">
        <f t="shared" si="25"/>
        <v>283472.52692737209</v>
      </c>
      <c r="H128" s="165">
        <f t="shared" si="26"/>
        <v>57306.758083647976</v>
      </c>
      <c r="I128" s="299">
        <f t="shared" si="27"/>
        <v>57306.758083647976</v>
      </c>
      <c r="J128" s="160">
        <f t="shared" si="17"/>
        <v>0</v>
      </c>
      <c r="K128" s="160"/>
      <c r="L128" s="316"/>
      <c r="M128" s="160">
        <f t="shared" si="22"/>
        <v>0</v>
      </c>
      <c r="N128" s="316"/>
      <c r="O128" s="160">
        <f t="shared" si="20"/>
        <v>0</v>
      </c>
      <c r="P128" s="160">
        <f t="shared" si="21"/>
        <v>0</v>
      </c>
      <c r="Q128" s="1"/>
      <c r="R128" s="1"/>
      <c r="S128" s="1"/>
      <c r="T128" s="1"/>
      <c r="U128" s="1"/>
    </row>
    <row r="129" spans="2:21">
      <c r="B129" t="str">
        <f t="shared" si="16"/>
        <v/>
      </c>
      <c r="C129" s="155">
        <f>IF(D94="","-",+C128+1)</f>
        <v>2039</v>
      </c>
      <c r="D129" s="156">
        <f>IF(F128+SUM(E$100:E128)=D$93,F128,D$93-SUM(E$100:E128))</f>
        <v>269781.17498292762</v>
      </c>
      <c r="E129" s="162">
        <f>IF(+J97&lt;F128,J97,D129)</f>
        <v>27382.703888888889</v>
      </c>
      <c r="F129" s="161">
        <f t="shared" si="24"/>
        <v>242398.47109403874</v>
      </c>
      <c r="G129" s="161">
        <f t="shared" si="25"/>
        <v>256089.82303848318</v>
      </c>
      <c r="H129" s="165">
        <f t="shared" si="26"/>
        <v>54416.172798181884</v>
      </c>
      <c r="I129" s="299">
        <f t="shared" si="27"/>
        <v>54416.172798181884</v>
      </c>
      <c r="J129" s="160">
        <f t="shared" si="17"/>
        <v>0</v>
      </c>
      <c r="K129" s="160"/>
      <c r="L129" s="316"/>
      <c r="M129" s="160">
        <f t="shared" si="22"/>
        <v>0</v>
      </c>
      <c r="N129" s="316"/>
      <c r="O129" s="160">
        <f t="shared" si="20"/>
        <v>0</v>
      </c>
      <c r="P129" s="160">
        <f t="shared" si="21"/>
        <v>0</v>
      </c>
      <c r="Q129" s="1"/>
      <c r="R129" s="1"/>
      <c r="S129" s="1"/>
      <c r="T129" s="1"/>
      <c r="U129" s="1"/>
    </row>
    <row r="130" spans="2:21">
      <c r="B130" t="str">
        <f t="shared" si="16"/>
        <v/>
      </c>
      <c r="C130" s="155">
        <f>IF(D94="","-",+C129+1)</f>
        <v>2040</v>
      </c>
      <c r="D130" s="156">
        <f>IF(F129+SUM(E$100:E129)=D$93,F129,D$93-SUM(E$100:E129))</f>
        <v>242398.47109403874</v>
      </c>
      <c r="E130" s="162">
        <f>IF(+J97&lt;F129,J97,D130)</f>
        <v>27382.703888888889</v>
      </c>
      <c r="F130" s="161">
        <f t="shared" si="24"/>
        <v>215015.76720514987</v>
      </c>
      <c r="G130" s="161">
        <f t="shared" si="25"/>
        <v>228707.11914959431</v>
      </c>
      <c r="H130" s="165">
        <f t="shared" si="26"/>
        <v>51525.5875127158</v>
      </c>
      <c r="I130" s="299">
        <f t="shared" si="27"/>
        <v>51525.5875127158</v>
      </c>
      <c r="J130" s="160">
        <f t="shared" si="17"/>
        <v>0</v>
      </c>
      <c r="K130" s="160"/>
      <c r="L130" s="316"/>
      <c r="M130" s="160">
        <f t="shared" si="22"/>
        <v>0</v>
      </c>
      <c r="N130" s="316"/>
      <c r="O130" s="160">
        <f t="shared" si="20"/>
        <v>0</v>
      </c>
      <c r="P130" s="160">
        <f t="shared" si="21"/>
        <v>0</v>
      </c>
      <c r="Q130" s="1"/>
      <c r="R130" s="1"/>
      <c r="S130" s="1"/>
      <c r="T130" s="1"/>
      <c r="U130" s="1"/>
    </row>
    <row r="131" spans="2:21">
      <c r="B131" t="str">
        <f t="shared" si="16"/>
        <v/>
      </c>
      <c r="C131" s="155">
        <f>IF(D94="","-",+C130+1)</f>
        <v>2041</v>
      </c>
      <c r="D131" s="156">
        <f>IF(F130+SUM(E$100:E130)=D$93,F130,D$93-SUM(E$100:E130))</f>
        <v>215015.76720514987</v>
      </c>
      <c r="E131" s="162">
        <f>IF(+J97&lt;F130,J97,D131)</f>
        <v>27382.703888888889</v>
      </c>
      <c r="F131" s="161">
        <f t="shared" si="24"/>
        <v>187633.06331626099</v>
      </c>
      <c r="G131" s="161">
        <f t="shared" si="25"/>
        <v>201324.41526070543</v>
      </c>
      <c r="H131" s="165">
        <f t="shared" si="26"/>
        <v>48635.002227249715</v>
      </c>
      <c r="I131" s="299">
        <f t="shared" si="27"/>
        <v>48635.002227249715</v>
      </c>
      <c r="J131" s="160">
        <f t="shared" si="17"/>
        <v>0</v>
      </c>
      <c r="K131" s="160"/>
      <c r="L131" s="316"/>
      <c r="M131" s="160">
        <f t="shared" si="22"/>
        <v>0</v>
      </c>
      <c r="N131" s="316"/>
      <c r="O131" s="160">
        <f t="shared" si="20"/>
        <v>0</v>
      </c>
      <c r="P131" s="160">
        <f t="shared" si="21"/>
        <v>0</v>
      </c>
      <c r="Q131" s="1"/>
      <c r="R131" s="1"/>
      <c r="S131" s="1"/>
      <c r="T131" s="1"/>
      <c r="U131" s="1"/>
    </row>
    <row r="132" spans="2:21">
      <c r="B132" t="str">
        <f t="shared" si="16"/>
        <v/>
      </c>
      <c r="C132" s="155">
        <f>IF(D94="","-",+C131+1)</f>
        <v>2042</v>
      </c>
      <c r="D132" s="156">
        <f>IF(F131+SUM(E$100:E131)=D$93,F131,D$93-SUM(E$100:E131))</f>
        <v>187633.06331626099</v>
      </c>
      <c r="E132" s="162">
        <f>IF(+J97&lt;F131,J97,D132)</f>
        <v>27382.703888888889</v>
      </c>
      <c r="F132" s="161">
        <f t="shared" ref="F132:F155" si="28">+D132-E132</f>
        <v>160250.35942737211</v>
      </c>
      <c r="G132" s="161">
        <f t="shared" ref="G132:G155" si="29">+(F132+D132)/2</f>
        <v>173941.71137181655</v>
      </c>
      <c r="H132" s="165">
        <f t="shared" si="26"/>
        <v>45744.416941783624</v>
      </c>
      <c r="I132" s="299">
        <f t="shared" si="27"/>
        <v>45744.416941783624</v>
      </c>
      <c r="J132" s="160">
        <f t="shared" ref="J132:J155" si="30">+I132-H132</f>
        <v>0</v>
      </c>
      <c r="K132" s="160"/>
      <c r="L132" s="316"/>
      <c r="M132" s="160">
        <f t="shared" ref="M132:M155" si="31">IF(L132&lt;&gt;0,+H132-L132,0)</f>
        <v>0</v>
      </c>
      <c r="N132" s="316"/>
      <c r="O132" s="160">
        <f t="shared" ref="O132:O155" si="32">IF(N132&lt;&gt;0,+I132-N132,0)</f>
        <v>0</v>
      </c>
      <c r="P132" s="160">
        <f t="shared" ref="P132:P155" si="33">+O132-M132</f>
        <v>0</v>
      </c>
      <c r="Q132" s="1"/>
      <c r="R132" s="1"/>
      <c r="S132" s="1"/>
      <c r="T132" s="1"/>
      <c r="U132" s="1"/>
    </row>
    <row r="133" spans="2:21">
      <c r="B133" t="str">
        <f t="shared" si="16"/>
        <v/>
      </c>
      <c r="C133" s="155">
        <f>IF(D94="","-",+C132+1)</f>
        <v>2043</v>
      </c>
      <c r="D133" s="156">
        <f>IF(F132+SUM(E$100:E132)=D$93,F132,D$93-SUM(E$100:E132))</f>
        <v>160250.35942737211</v>
      </c>
      <c r="E133" s="162">
        <f>IF(+J97&lt;F132,J97,D133)</f>
        <v>27382.703888888889</v>
      </c>
      <c r="F133" s="161">
        <f t="shared" si="28"/>
        <v>132867.65553848323</v>
      </c>
      <c r="G133" s="161">
        <f t="shared" si="29"/>
        <v>146559.00748292767</v>
      </c>
      <c r="H133" s="165">
        <f t="shared" si="26"/>
        <v>42853.831656317532</v>
      </c>
      <c r="I133" s="299">
        <f t="shared" si="27"/>
        <v>42853.831656317532</v>
      </c>
      <c r="J133" s="160">
        <f t="shared" si="30"/>
        <v>0</v>
      </c>
      <c r="K133" s="160"/>
      <c r="L133" s="316"/>
      <c r="M133" s="160">
        <f t="shared" si="31"/>
        <v>0</v>
      </c>
      <c r="N133" s="316"/>
      <c r="O133" s="160">
        <f t="shared" si="32"/>
        <v>0</v>
      </c>
      <c r="P133" s="160">
        <f t="shared" si="33"/>
        <v>0</v>
      </c>
      <c r="Q133" s="1"/>
      <c r="R133" s="1"/>
      <c r="S133" s="1"/>
      <c r="T133" s="1"/>
      <c r="U133" s="1"/>
    </row>
    <row r="134" spans="2:21">
      <c r="B134" t="str">
        <f t="shared" si="16"/>
        <v/>
      </c>
      <c r="C134" s="155">
        <f>IF(D94="","-",+C133+1)</f>
        <v>2044</v>
      </c>
      <c r="D134" s="156">
        <f>IF(F133+SUM(E$100:E133)=D$93,F133,D$93-SUM(E$100:E133))</f>
        <v>132867.65553848271</v>
      </c>
      <c r="E134" s="162">
        <f>IF(+J97&lt;F133,J97,D134)</f>
        <v>27382.703888888889</v>
      </c>
      <c r="F134" s="161">
        <f t="shared" si="28"/>
        <v>105484.95164959382</v>
      </c>
      <c r="G134" s="161">
        <f t="shared" si="29"/>
        <v>119176.30359403827</v>
      </c>
      <c r="H134" s="165">
        <f t="shared" si="26"/>
        <v>39963.24637085139</v>
      </c>
      <c r="I134" s="299">
        <f t="shared" si="27"/>
        <v>39963.24637085139</v>
      </c>
      <c r="J134" s="160">
        <f t="shared" si="30"/>
        <v>0</v>
      </c>
      <c r="K134" s="160"/>
      <c r="L134" s="316"/>
      <c r="M134" s="160">
        <f t="shared" si="31"/>
        <v>0</v>
      </c>
      <c r="N134" s="316"/>
      <c r="O134" s="160">
        <f t="shared" si="32"/>
        <v>0</v>
      </c>
      <c r="P134" s="160">
        <f t="shared" si="33"/>
        <v>0</v>
      </c>
      <c r="Q134" s="1"/>
      <c r="R134" s="1"/>
      <c r="S134" s="1"/>
      <c r="T134" s="1"/>
      <c r="U134" s="1"/>
    </row>
    <row r="135" spans="2:21">
      <c r="B135" t="str">
        <f t="shared" si="16"/>
        <v/>
      </c>
      <c r="C135" s="155">
        <f>IF(D94="","-",+C134+1)</f>
        <v>2045</v>
      </c>
      <c r="D135" s="156">
        <f>IF(F134+SUM(E$100:E134)=D$93,F134,D$93-SUM(E$100:E134))</f>
        <v>105484.95164959382</v>
      </c>
      <c r="E135" s="162">
        <f>IF(+J97&lt;F134,J97,D135)</f>
        <v>27382.703888888889</v>
      </c>
      <c r="F135" s="161">
        <f t="shared" si="28"/>
        <v>78102.247760704922</v>
      </c>
      <c r="G135" s="161">
        <f t="shared" si="29"/>
        <v>91793.599705149361</v>
      </c>
      <c r="H135" s="165">
        <f t="shared" si="26"/>
        <v>37072.661085385298</v>
      </c>
      <c r="I135" s="299">
        <f t="shared" si="27"/>
        <v>37072.661085385298</v>
      </c>
      <c r="J135" s="160">
        <f t="shared" si="30"/>
        <v>0</v>
      </c>
      <c r="K135" s="160"/>
      <c r="L135" s="316"/>
      <c r="M135" s="160">
        <f t="shared" si="31"/>
        <v>0</v>
      </c>
      <c r="N135" s="316"/>
      <c r="O135" s="160">
        <f t="shared" si="32"/>
        <v>0</v>
      </c>
      <c r="P135" s="160">
        <f t="shared" si="33"/>
        <v>0</v>
      </c>
      <c r="Q135" s="1"/>
      <c r="R135" s="1"/>
      <c r="S135" s="1"/>
      <c r="T135" s="1"/>
      <c r="U135" s="1"/>
    </row>
    <row r="136" spans="2:21">
      <c r="B136" t="str">
        <f t="shared" si="16"/>
        <v/>
      </c>
      <c r="C136" s="155">
        <f>IF(D94="","-",+C135+1)</f>
        <v>2046</v>
      </c>
      <c r="D136" s="156">
        <f>IF(F135+SUM(E$100:E135)=D$93,F135,D$93-SUM(E$100:E135))</f>
        <v>78102.247760704922</v>
      </c>
      <c r="E136" s="162">
        <f>IF(+J97&lt;F135,J97,D136)</f>
        <v>27382.703888888889</v>
      </c>
      <c r="F136" s="161">
        <f t="shared" si="28"/>
        <v>50719.543871816029</v>
      </c>
      <c r="G136" s="161">
        <f t="shared" si="29"/>
        <v>64410.895816260476</v>
      </c>
      <c r="H136" s="165">
        <f t="shared" si="26"/>
        <v>34182.075799919214</v>
      </c>
      <c r="I136" s="299">
        <f t="shared" si="27"/>
        <v>34182.075799919214</v>
      </c>
      <c r="J136" s="160">
        <f t="shared" si="30"/>
        <v>0</v>
      </c>
      <c r="K136" s="160"/>
      <c r="L136" s="316"/>
      <c r="M136" s="160">
        <f t="shared" si="31"/>
        <v>0</v>
      </c>
      <c r="N136" s="316"/>
      <c r="O136" s="160">
        <f t="shared" si="32"/>
        <v>0</v>
      </c>
      <c r="P136" s="160">
        <f t="shared" si="33"/>
        <v>0</v>
      </c>
      <c r="Q136" s="1"/>
      <c r="R136" s="1"/>
      <c r="S136" s="1"/>
      <c r="T136" s="1"/>
      <c r="U136" s="1"/>
    </row>
    <row r="137" spans="2:21">
      <c r="B137" t="str">
        <f t="shared" si="16"/>
        <v/>
      </c>
      <c r="C137" s="155">
        <f>IF(D94="","-",+C136+1)</f>
        <v>2047</v>
      </c>
      <c r="D137" s="156">
        <f>IF(F136+SUM(E$100:E136)=D$93,F136,D$93-SUM(E$100:E136))</f>
        <v>50719.543871816029</v>
      </c>
      <c r="E137" s="162">
        <f>IF(+J97&lt;F136,J97,D137)</f>
        <v>27382.703888888889</v>
      </c>
      <c r="F137" s="161">
        <f t="shared" si="28"/>
        <v>23336.83998292714</v>
      </c>
      <c r="G137" s="161">
        <f t="shared" si="29"/>
        <v>37028.191927371583</v>
      </c>
      <c r="H137" s="165">
        <f t="shared" si="26"/>
        <v>31291.490514453119</v>
      </c>
      <c r="I137" s="299">
        <f t="shared" si="27"/>
        <v>31291.490514453119</v>
      </c>
      <c r="J137" s="160">
        <f t="shared" si="30"/>
        <v>0</v>
      </c>
      <c r="K137" s="160"/>
      <c r="L137" s="316"/>
      <c r="M137" s="160">
        <f t="shared" si="31"/>
        <v>0</v>
      </c>
      <c r="N137" s="316"/>
      <c r="O137" s="160">
        <f t="shared" si="32"/>
        <v>0</v>
      </c>
      <c r="P137" s="160">
        <f t="shared" si="33"/>
        <v>0</v>
      </c>
      <c r="Q137" s="1"/>
      <c r="R137" s="1"/>
      <c r="S137" s="1"/>
      <c r="T137" s="1"/>
      <c r="U137" s="1"/>
    </row>
    <row r="138" spans="2:21">
      <c r="B138" t="str">
        <f t="shared" si="16"/>
        <v/>
      </c>
      <c r="C138" s="155">
        <f>IF(D94="","-",+C137+1)</f>
        <v>2048</v>
      </c>
      <c r="D138" s="156">
        <f>IF(F137+SUM(E$100:E137)=D$93,F137,D$93-SUM(E$100:E137))</f>
        <v>23336.83998292714</v>
      </c>
      <c r="E138" s="162">
        <f>IF(+J97&lt;F137,J97,D138)</f>
        <v>23336.83998292714</v>
      </c>
      <c r="F138" s="161">
        <f t="shared" si="28"/>
        <v>0</v>
      </c>
      <c r="G138" s="161">
        <f t="shared" si="29"/>
        <v>11668.41999146357</v>
      </c>
      <c r="H138" s="165">
        <f t="shared" si="26"/>
        <v>24568.586974342732</v>
      </c>
      <c r="I138" s="299">
        <f t="shared" si="27"/>
        <v>24568.586974342732</v>
      </c>
      <c r="J138" s="160">
        <f t="shared" si="30"/>
        <v>0</v>
      </c>
      <c r="K138" s="160"/>
      <c r="L138" s="316"/>
      <c r="M138" s="160">
        <f t="shared" si="31"/>
        <v>0</v>
      </c>
      <c r="N138" s="316"/>
      <c r="O138" s="160">
        <f t="shared" si="32"/>
        <v>0</v>
      </c>
      <c r="P138" s="160">
        <f t="shared" si="33"/>
        <v>0</v>
      </c>
      <c r="Q138" s="1"/>
      <c r="R138" s="1"/>
      <c r="S138" s="1"/>
      <c r="T138" s="1"/>
      <c r="U138" s="1"/>
    </row>
    <row r="139" spans="2:21">
      <c r="B139" t="str">
        <f t="shared" si="16"/>
        <v/>
      </c>
      <c r="C139" s="155">
        <f>IF(D94="","-",+C138+1)</f>
        <v>2049</v>
      </c>
      <c r="D139" s="156">
        <f>IF(F138+SUM(E$100:E138)=D$93,F138,D$93-SUM(E$100:E138))</f>
        <v>0</v>
      </c>
      <c r="E139" s="162">
        <f>IF(+J97&lt;F138,J97,D139)</f>
        <v>0</v>
      </c>
      <c r="F139" s="161">
        <f t="shared" si="28"/>
        <v>0</v>
      </c>
      <c r="G139" s="161">
        <f t="shared" si="29"/>
        <v>0</v>
      </c>
      <c r="H139" s="165">
        <f t="shared" si="26"/>
        <v>0</v>
      </c>
      <c r="I139" s="299">
        <f t="shared" si="27"/>
        <v>0</v>
      </c>
      <c r="J139" s="160">
        <f t="shared" si="30"/>
        <v>0</v>
      </c>
      <c r="K139" s="160"/>
      <c r="L139" s="316"/>
      <c r="M139" s="160">
        <f t="shared" si="31"/>
        <v>0</v>
      </c>
      <c r="N139" s="316"/>
      <c r="O139" s="160">
        <f t="shared" si="32"/>
        <v>0</v>
      </c>
      <c r="P139" s="160">
        <f t="shared" si="33"/>
        <v>0</v>
      </c>
      <c r="Q139" s="1"/>
      <c r="R139" s="1"/>
      <c r="S139" s="1"/>
      <c r="T139" s="1"/>
      <c r="U139" s="1"/>
    </row>
    <row r="140" spans="2:21">
      <c r="B140" t="str">
        <f t="shared" si="16"/>
        <v/>
      </c>
      <c r="C140" s="155">
        <f>IF(D94="","-",+C139+1)</f>
        <v>2050</v>
      </c>
      <c r="D140" s="156">
        <f>IF(F139+SUM(E$100:E139)=D$93,F139,D$93-SUM(E$100:E139))</f>
        <v>0</v>
      </c>
      <c r="E140" s="162">
        <f>IF(+J97&lt;F139,J97,D140)</f>
        <v>0</v>
      </c>
      <c r="F140" s="161">
        <f t="shared" si="28"/>
        <v>0</v>
      </c>
      <c r="G140" s="161">
        <f t="shared" si="29"/>
        <v>0</v>
      </c>
      <c r="H140" s="165">
        <f t="shared" si="26"/>
        <v>0</v>
      </c>
      <c r="I140" s="299">
        <f t="shared" si="27"/>
        <v>0</v>
      </c>
      <c r="J140" s="160">
        <f t="shared" si="30"/>
        <v>0</v>
      </c>
      <c r="K140" s="160"/>
      <c r="L140" s="316"/>
      <c r="M140" s="160">
        <f t="shared" si="31"/>
        <v>0</v>
      </c>
      <c r="N140" s="316"/>
      <c r="O140" s="160">
        <f t="shared" si="32"/>
        <v>0</v>
      </c>
      <c r="P140" s="160">
        <f t="shared" si="33"/>
        <v>0</v>
      </c>
      <c r="Q140" s="1"/>
      <c r="R140" s="1"/>
      <c r="S140" s="1"/>
      <c r="T140" s="1"/>
      <c r="U140" s="1"/>
    </row>
    <row r="141" spans="2:21">
      <c r="B141" t="str">
        <f t="shared" si="16"/>
        <v/>
      </c>
      <c r="C141" s="155">
        <f>IF(D94="","-",+C140+1)</f>
        <v>2051</v>
      </c>
      <c r="D141" s="156">
        <f>IF(F140+SUM(E$100:E140)=D$93,F140,D$93-SUM(E$100:E140))</f>
        <v>0</v>
      </c>
      <c r="E141" s="162">
        <f>IF(+J97&lt;F140,J97,D141)</f>
        <v>0</v>
      </c>
      <c r="F141" s="161">
        <f t="shared" si="28"/>
        <v>0</v>
      </c>
      <c r="G141" s="161">
        <f t="shared" si="29"/>
        <v>0</v>
      </c>
      <c r="H141" s="165">
        <f t="shared" si="26"/>
        <v>0</v>
      </c>
      <c r="I141" s="299">
        <f t="shared" si="27"/>
        <v>0</v>
      </c>
      <c r="J141" s="160">
        <f t="shared" si="30"/>
        <v>0</v>
      </c>
      <c r="K141" s="160"/>
      <c r="L141" s="316"/>
      <c r="M141" s="160">
        <f t="shared" si="31"/>
        <v>0</v>
      </c>
      <c r="N141" s="316"/>
      <c r="O141" s="160">
        <f t="shared" si="32"/>
        <v>0</v>
      </c>
      <c r="P141" s="160">
        <f t="shared" si="33"/>
        <v>0</v>
      </c>
      <c r="Q141" s="1"/>
      <c r="R141" s="1"/>
      <c r="S141" s="1"/>
      <c r="T141" s="1"/>
      <c r="U141" s="1"/>
    </row>
    <row r="142" spans="2:21">
      <c r="B142" t="str">
        <f t="shared" si="16"/>
        <v/>
      </c>
      <c r="C142" s="155">
        <f>IF(D94="","-",+C141+1)</f>
        <v>2052</v>
      </c>
      <c r="D142" s="156">
        <f>IF(F141+SUM(E$100:E141)=D$93,F141,D$93-SUM(E$100:E141))</f>
        <v>0</v>
      </c>
      <c r="E142" s="162">
        <f>IF(+J97&lt;F141,J97,D142)</f>
        <v>0</v>
      </c>
      <c r="F142" s="161">
        <f t="shared" si="28"/>
        <v>0</v>
      </c>
      <c r="G142" s="161">
        <f t="shared" si="29"/>
        <v>0</v>
      </c>
      <c r="H142" s="165">
        <f t="shared" si="26"/>
        <v>0</v>
      </c>
      <c r="I142" s="299">
        <f t="shared" si="27"/>
        <v>0</v>
      </c>
      <c r="J142" s="160">
        <f t="shared" si="30"/>
        <v>0</v>
      </c>
      <c r="K142" s="160"/>
      <c r="L142" s="316"/>
      <c r="M142" s="160">
        <f t="shared" si="31"/>
        <v>0</v>
      </c>
      <c r="N142" s="316"/>
      <c r="O142" s="160">
        <f t="shared" si="32"/>
        <v>0</v>
      </c>
      <c r="P142" s="160">
        <f t="shared" si="33"/>
        <v>0</v>
      </c>
      <c r="Q142" s="1"/>
      <c r="R142" s="1"/>
      <c r="S142" s="1"/>
      <c r="T142" s="1"/>
      <c r="U142" s="1"/>
    </row>
    <row r="143" spans="2:21">
      <c r="B143" t="str">
        <f t="shared" si="16"/>
        <v/>
      </c>
      <c r="C143" s="155">
        <f>IF(D94="","-",+C142+1)</f>
        <v>2053</v>
      </c>
      <c r="D143" s="156">
        <f>IF(F142+SUM(E$100:E142)=D$93,F142,D$93-SUM(E$100:E142))</f>
        <v>0</v>
      </c>
      <c r="E143" s="162">
        <f>IF(+J97&lt;F142,J97,D143)</f>
        <v>0</v>
      </c>
      <c r="F143" s="161">
        <f t="shared" si="28"/>
        <v>0</v>
      </c>
      <c r="G143" s="161">
        <f t="shared" si="29"/>
        <v>0</v>
      </c>
      <c r="H143" s="165">
        <f t="shared" si="26"/>
        <v>0</v>
      </c>
      <c r="I143" s="299">
        <f t="shared" si="27"/>
        <v>0</v>
      </c>
      <c r="J143" s="160">
        <f t="shared" si="30"/>
        <v>0</v>
      </c>
      <c r="K143" s="160"/>
      <c r="L143" s="316"/>
      <c r="M143" s="160">
        <f t="shared" si="31"/>
        <v>0</v>
      </c>
      <c r="N143" s="316"/>
      <c r="O143" s="160">
        <f t="shared" si="32"/>
        <v>0</v>
      </c>
      <c r="P143" s="160">
        <f t="shared" si="33"/>
        <v>0</v>
      </c>
      <c r="Q143" s="1"/>
      <c r="R143" s="1"/>
      <c r="S143" s="1"/>
      <c r="T143" s="1"/>
      <c r="U143" s="1"/>
    </row>
    <row r="144" spans="2:21">
      <c r="B144" t="str">
        <f t="shared" si="16"/>
        <v/>
      </c>
      <c r="C144" s="155">
        <f>IF(D94="","-",+C143+1)</f>
        <v>2054</v>
      </c>
      <c r="D144" s="156">
        <f>IF(F143+SUM(E$100:E143)=D$93,F143,D$93-SUM(E$100:E143))</f>
        <v>0</v>
      </c>
      <c r="E144" s="162">
        <f>IF(+J97&lt;F143,J97,D144)</f>
        <v>0</v>
      </c>
      <c r="F144" s="161">
        <f t="shared" si="28"/>
        <v>0</v>
      </c>
      <c r="G144" s="161">
        <f t="shared" si="29"/>
        <v>0</v>
      </c>
      <c r="H144" s="165">
        <f t="shared" si="26"/>
        <v>0</v>
      </c>
      <c r="I144" s="299">
        <f t="shared" si="27"/>
        <v>0</v>
      </c>
      <c r="J144" s="160">
        <f t="shared" si="30"/>
        <v>0</v>
      </c>
      <c r="K144" s="160"/>
      <c r="L144" s="316"/>
      <c r="M144" s="160">
        <f t="shared" si="31"/>
        <v>0</v>
      </c>
      <c r="N144" s="316"/>
      <c r="O144" s="160">
        <f t="shared" si="32"/>
        <v>0</v>
      </c>
      <c r="P144" s="160">
        <f t="shared" si="33"/>
        <v>0</v>
      </c>
      <c r="Q144" s="1"/>
      <c r="R144" s="1"/>
      <c r="S144" s="1"/>
      <c r="T144" s="1"/>
      <c r="U144" s="1"/>
    </row>
    <row r="145" spans="2:21">
      <c r="B145" t="str">
        <f t="shared" si="16"/>
        <v/>
      </c>
      <c r="C145" s="155">
        <f>IF(D94="","-",+C144+1)</f>
        <v>2055</v>
      </c>
      <c r="D145" s="156">
        <f>IF(F144+SUM(E$100:E144)=D$93,F144,D$93-SUM(E$100:E144))</f>
        <v>0</v>
      </c>
      <c r="E145" s="162">
        <f>IF(+J97&lt;F144,J97,D145)</f>
        <v>0</v>
      </c>
      <c r="F145" s="161">
        <f t="shared" si="28"/>
        <v>0</v>
      </c>
      <c r="G145" s="161">
        <f t="shared" si="29"/>
        <v>0</v>
      </c>
      <c r="H145" s="165">
        <f t="shared" si="26"/>
        <v>0</v>
      </c>
      <c r="I145" s="299">
        <f t="shared" si="27"/>
        <v>0</v>
      </c>
      <c r="J145" s="160">
        <f t="shared" si="30"/>
        <v>0</v>
      </c>
      <c r="K145" s="160"/>
      <c r="L145" s="316"/>
      <c r="M145" s="160">
        <f t="shared" si="31"/>
        <v>0</v>
      </c>
      <c r="N145" s="316"/>
      <c r="O145" s="160">
        <f t="shared" si="32"/>
        <v>0</v>
      </c>
      <c r="P145" s="160">
        <f t="shared" si="33"/>
        <v>0</v>
      </c>
      <c r="Q145" s="1"/>
      <c r="R145" s="1"/>
      <c r="S145" s="1"/>
      <c r="T145" s="1"/>
      <c r="U145" s="1"/>
    </row>
    <row r="146" spans="2:21">
      <c r="B146" t="str">
        <f t="shared" si="16"/>
        <v/>
      </c>
      <c r="C146" s="155">
        <f>IF(D94="","-",+C145+1)</f>
        <v>2056</v>
      </c>
      <c r="D146" s="156">
        <f>IF(F145+SUM(E$100:E145)=D$93,F145,D$93-SUM(E$100:E145))</f>
        <v>0</v>
      </c>
      <c r="E146" s="162">
        <f>IF(+J97&lt;F145,J97,D146)</f>
        <v>0</v>
      </c>
      <c r="F146" s="161">
        <f t="shared" si="28"/>
        <v>0</v>
      </c>
      <c r="G146" s="161">
        <f t="shared" si="29"/>
        <v>0</v>
      </c>
      <c r="H146" s="165">
        <f t="shared" si="26"/>
        <v>0</v>
      </c>
      <c r="I146" s="299">
        <f t="shared" si="27"/>
        <v>0</v>
      </c>
      <c r="J146" s="160">
        <f t="shared" si="30"/>
        <v>0</v>
      </c>
      <c r="K146" s="160"/>
      <c r="L146" s="316"/>
      <c r="M146" s="160">
        <f t="shared" si="31"/>
        <v>0</v>
      </c>
      <c r="N146" s="316"/>
      <c r="O146" s="160">
        <f t="shared" si="32"/>
        <v>0</v>
      </c>
      <c r="P146" s="160">
        <f t="shared" si="33"/>
        <v>0</v>
      </c>
      <c r="Q146" s="1"/>
      <c r="R146" s="1"/>
      <c r="S146" s="1"/>
      <c r="T146" s="1"/>
      <c r="U146" s="1"/>
    </row>
    <row r="147" spans="2:21">
      <c r="B147" t="str">
        <f t="shared" si="16"/>
        <v/>
      </c>
      <c r="C147" s="155">
        <f>IF(D94="","-",+C146+1)</f>
        <v>2057</v>
      </c>
      <c r="D147" s="156">
        <f>IF(F146+SUM(E$100:E146)=D$93,F146,D$93-SUM(E$100:E146))</f>
        <v>0</v>
      </c>
      <c r="E147" s="162">
        <f>IF(+J97&lt;F146,J97,D147)</f>
        <v>0</v>
      </c>
      <c r="F147" s="161">
        <f t="shared" si="28"/>
        <v>0</v>
      </c>
      <c r="G147" s="161">
        <f t="shared" si="29"/>
        <v>0</v>
      </c>
      <c r="H147" s="165">
        <f t="shared" si="26"/>
        <v>0</v>
      </c>
      <c r="I147" s="299">
        <f t="shared" si="27"/>
        <v>0</v>
      </c>
      <c r="J147" s="160">
        <f t="shared" si="30"/>
        <v>0</v>
      </c>
      <c r="K147" s="160"/>
      <c r="L147" s="316"/>
      <c r="M147" s="160">
        <f t="shared" si="31"/>
        <v>0</v>
      </c>
      <c r="N147" s="316"/>
      <c r="O147" s="160">
        <f t="shared" si="32"/>
        <v>0</v>
      </c>
      <c r="P147" s="160">
        <f t="shared" si="33"/>
        <v>0</v>
      </c>
      <c r="Q147" s="1"/>
      <c r="R147" s="1"/>
      <c r="S147" s="1"/>
      <c r="T147" s="1"/>
      <c r="U147" s="1"/>
    </row>
    <row r="148" spans="2:21">
      <c r="B148" t="str">
        <f t="shared" si="16"/>
        <v/>
      </c>
      <c r="C148" s="155">
        <f>IF(D94="","-",+C147+1)</f>
        <v>2058</v>
      </c>
      <c r="D148" s="156">
        <f>IF(F147+SUM(E$100:E147)=D$93,F147,D$93-SUM(E$100:E147))</f>
        <v>0</v>
      </c>
      <c r="E148" s="162">
        <f>IF(+J97&lt;F147,J97,D148)</f>
        <v>0</v>
      </c>
      <c r="F148" s="161">
        <f t="shared" si="28"/>
        <v>0</v>
      </c>
      <c r="G148" s="161">
        <f t="shared" si="29"/>
        <v>0</v>
      </c>
      <c r="H148" s="165">
        <f t="shared" si="26"/>
        <v>0</v>
      </c>
      <c r="I148" s="299">
        <f t="shared" si="27"/>
        <v>0</v>
      </c>
      <c r="J148" s="160">
        <f t="shared" si="30"/>
        <v>0</v>
      </c>
      <c r="K148" s="160"/>
      <c r="L148" s="316"/>
      <c r="M148" s="160">
        <f t="shared" si="31"/>
        <v>0</v>
      </c>
      <c r="N148" s="316"/>
      <c r="O148" s="160">
        <f t="shared" si="32"/>
        <v>0</v>
      </c>
      <c r="P148" s="160">
        <f t="shared" si="33"/>
        <v>0</v>
      </c>
      <c r="Q148" s="1"/>
      <c r="R148" s="1"/>
      <c r="S148" s="1"/>
      <c r="T148" s="1"/>
      <c r="U148" s="1"/>
    </row>
    <row r="149" spans="2:21">
      <c r="B149" t="str">
        <f t="shared" si="16"/>
        <v/>
      </c>
      <c r="C149" s="155">
        <f>IF(D94="","-",+C148+1)</f>
        <v>2059</v>
      </c>
      <c r="D149" s="156">
        <f>IF(F148+SUM(E$100:E148)=D$93,F148,D$93-SUM(E$100:E148))</f>
        <v>0</v>
      </c>
      <c r="E149" s="162">
        <f>IF(+J97&lt;F148,J97,D149)</f>
        <v>0</v>
      </c>
      <c r="F149" s="161">
        <f t="shared" si="28"/>
        <v>0</v>
      </c>
      <c r="G149" s="161">
        <f t="shared" si="29"/>
        <v>0</v>
      </c>
      <c r="H149" s="165">
        <f t="shared" si="26"/>
        <v>0</v>
      </c>
      <c r="I149" s="299">
        <f t="shared" si="27"/>
        <v>0</v>
      </c>
      <c r="J149" s="160">
        <f t="shared" si="30"/>
        <v>0</v>
      </c>
      <c r="K149" s="160"/>
      <c r="L149" s="316"/>
      <c r="M149" s="160">
        <f t="shared" si="31"/>
        <v>0</v>
      </c>
      <c r="N149" s="316"/>
      <c r="O149" s="160">
        <f t="shared" si="32"/>
        <v>0</v>
      </c>
      <c r="P149" s="160">
        <f t="shared" si="33"/>
        <v>0</v>
      </c>
      <c r="Q149" s="1"/>
      <c r="R149" s="1"/>
      <c r="S149" s="1"/>
      <c r="T149" s="1"/>
      <c r="U149" s="1"/>
    </row>
    <row r="150" spans="2:21">
      <c r="B150" t="str">
        <f t="shared" si="16"/>
        <v/>
      </c>
      <c r="C150" s="155">
        <f>IF(D94="","-",+C149+1)</f>
        <v>2060</v>
      </c>
      <c r="D150" s="156">
        <f>IF(F149+SUM(E$100:E149)=D$93,F149,D$93-SUM(E$100:E149))</f>
        <v>0</v>
      </c>
      <c r="E150" s="162">
        <f>IF(+J97&lt;F149,J97,D150)</f>
        <v>0</v>
      </c>
      <c r="F150" s="161">
        <f t="shared" si="28"/>
        <v>0</v>
      </c>
      <c r="G150" s="161">
        <f t="shared" si="29"/>
        <v>0</v>
      </c>
      <c r="H150" s="165">
        <f t="shared" si="26"/>
        <v>0</v>
      </c>
      <c r="I150" s="299">
        <f t="shared" si="27"/>
        <v>0</v>
      </c>
      <c r="J150" s="160">
        <f t="shared" si="30"/>
        <v>0</v>
      </c>
      <c r="K150" s="160"/>
      <c r="L150" s="316"/>
      <c r="M150" s="160">
        <f t="shared" si="31"/>
        <v>0</v>
      </c>
      <c r="N150" s="316"/>
      <c r="O150" s="160">
        <f t="shared" si="32"/>
        <v>0</v>
      </c>
      <c r="P150" s="160">
        <f t="shared" si="33"/>
        <v>0</v>
      </c>
      <c r="Q150" s="1"/>
      <c r="R150" s="1"/>
      <c r="S150" s="1"/>
      <c r="T150" s="1"/>
      <c r="U150" s="1"/>
    </row>
    <row r="151" spans="2:21">
      <c r="B151" t="str">
        <f t="shared" si="16"/>
        <v/>
      </c>
      <c r="C151" s="155">
        <f>IF(D94="","-",+C150+1)</f>
        <v>2061</v>
      </c>
      <c r="D151" s="156">
        <f>IF(F150+SUM(E$100:E150)=D$93,F150,D$93-SUM(E$100:E150))</f>
        <v>0</v>
      </c>
      <c r="E151" s="162">
        <f>IF(+J97&lt;F150,J97,D151)</f>
        <v>0</v>
      </c>
      <c r="F151" s="161">
        <f t="shared" si="28"/>
        <v>0</v>
      </c>
      <c r="G151" s="161">
        <f t="shared" si="29"/>
        <v>0</v>
      </c>
      <c r="H151" s="165">
        <f t="shared" si="26"/>
        <v>0</v>
      </c>
      <c r="I151" s="299">
        <f t="shared" si="27"/>
        <v>0</v>
      </c>
      <c r="J151" s="160">
        <f t="shared" si="30"/>
        <v>0</v>
      </c>
      <c r="K151" s="160"/>
      <c r="L151" s="316"/>
      <c r="M151" s="160">
        <f t="shared" si="31"/>
        <v>0</v>
      </c>
      <c r="N151" s="316"/>
      <c r="O151" s="160">
        <f t="shared" si="32"/>
        <v>0</v>
      </c>
      <c r="P151" s="160">
        <f t="shared" si="33"/>
        <v>0</v>
      </c>
      <c r="Q151" s="1"/>
      <c r="R151" s="1"/>
      <c r="S151" s="1"/>
      <c r="T151" s="1"/>
      <c r="U151" s="1"/>
    </row>
    <row r="152" spans="2:21">
      <c r="B152" t="str">
        <f t="shared" si="16"/>
        <v/>
      </c>
      <c r="C152" s="155">
        <f>IF(D94="","-",+C151+1)</f>
        <v>2062</v>
      </c>
      <c r="D152" s="156">
        <f>IF(F151+SUM(E$100:E151)=D$93,F151,D$93-SUM(E$100:E151))</f>
        <v>0</v>
      </c>
      <c r="E152" s="162">
        <f>IF(+J97&lt;F151,J97,D152)</f>
        <v>0</v>
      </c>
      <c r="F152" s="161">
        <f t="shared" si="28"/>
        <v>0</v>
      </c>
      <c r="G152" s="161">
        <f t="shared" si="29"/>
        <v>0</v>
      </c>
      <c r="H152" s="165">
        <f t="shared" si="26"/>
        <v>0</v>
      </c>
      <c r="I152" s="299">
        <f t="shared" si="27"/>
        <v>0</v>
      </c>
      <c r="J152" s="160">
        <f t="shared" si="30"/>
        <v>0</v>
      </c>
      <c r="K152" s="160"/>
      <c r="L152" s="316"/>
      <c r="M152" s="160">
        <f t="shared" si="31"/>
        <v>0</v>
      </c>
      <c r="N152" s="316"/>
      <c r="O152" s="160">
        <f t="shared" si="32"/>
        <v>0</v>
      </c>
      <c r="P152" s="160">
        <f t="shared" si="33"/>
        <v>0</v>
      </c>
      <c r="Q152" s="1"/>
      <c r="R152" s="1"/>
      <c r="S152" s="1"/>
      <c r="T152" s="1"/>
      <c r="U152" s="1"/>
    </row>
    <row r="153" spans="2:21">
      <c r="B153" t="str">
        <f t="shared" si="16"/>
        <v/>
      </c>
      <c r="C153" s="155">
        <f>IF(D94="","-",+C152+1)</f>
        <v>2063</v>
      </c>
      <c r="D153" s="156">
        <f>IF(F152+SUM(E$100:E152)=D$93,F152,D$93-SUM(E$100:E152))</f>
        <v>0</v>
      </c>
      <c r="E153" s="162">
        <f>IF(+J97&lt;F152,J97,D153)</f>
        <v>0</v>
      </c>
      <c r="F153" s="161">
        <f t="shared" si="28"/>
        <v>0</v>
      </c>
      <c r="G153" s="161">
        <f t="shared" si="29"/>
        <v>0</v>
      </c>
      <c r="H153" s="165">
        <f t="shared" si="26"/>
        <v>0</v>
      </c>
      <c r="I153" s="299">
        <f t="shared" si="27"/>
        <v>0</v>
      </c>
      <c r="J153" s="160">
        <f t="shared" si="30"/>
        <v>0</v>
      </c>
      <c r="K153" s="160"/>
      <c r="L153" s="316"/>
      <c r="M153" s="160">
        <f t="shared" si="31"/>
        <v>0</v>
      </c>
      <c r="N153" s="316"/>
      <c r="O153" s="160">
        <f t="shared" si="32"/>
        <v>0</v>
      </c>
      <c r="P153" s="160">
        <f t="shared" si="33"/>
        <v>0</v>
      </c>
      <c r="Q153" s="1"/>
      <c r="R153" s="1"/>
      <c r="S153" s="1"/>
      <c r="T153" s="1"/>
      <c r="U153" s="1"/>
    </row>
    <row r="154" spans="2:21">
      <c r="B154" t="str">
        <f t="shared" si="16"/>
        <v/>
      </c>
      <c r="C154" s="155">
        <f>IF(D94="","-",+C153+1)</f>
        <v>2064</v>
      </c>
      <c r="D154" s="156">
        <f>IF(F153+SUM(E$100:E153)=D$93,F153,D$93-SUM(E$100:E153))</f>
        <v>0</v>
      </c>
      <c r="E154" s="162">
        <f>IF(+J97&lt;F153,J97,D154)</f>
        <v>0</v>
      </c>
      <c r="F154" s="161">
        <f t="shared" si="28"/>
        <v>0</v>
      </c>
      <c r="G154" s="161">
        <f t="shared" si="29"/>
        <v>0</v>
      </c>
      <c r="H154" s="165">
        <f t="shared" si="26"/>
        <v>0</v>
      </c>
      <c r="I154" s="299">
        <f t="shared" si="27"/>
        <v>0</v>
      </c>
      <c r="J154" s="160">
        <f t="shared" si="30"/>
        <v>0</v>
      </c>
      <c r="K154" s="160"/>
      <c r="L154" s="316"/>
      <c r="M154" s="160">
        <f t="shared" si="31"/>
        <v>0</v>
      </c>
      <c r="N154" s="316"/>
      <c r="O154" s="160">
        <f t="shared" si="32"/>
        <v>0</v>
      </c>
      <c r="P154" s="160">
        <f t="shared" si="33"/>
        <v>0</v>
      </c>
      <c r="Q154" s="1"/>
      <c r="R154" s="1"/>
      <c r="S154" s="1"/>
      <c r="T154" s="1"/>
      <c r="U154" s="1"/>
    </row>
    <row r="155" spans="2:21" ht="13.5" thickBot="1">
      <c r="B155" t="str">
        <f t="shared" si="16"/>
        <v/>
      </c>
      <c r="C155" s="166">
        <f>IF(D94="","-",+C154+1)</f>
        <v>2065</v>
      </c>
      <c r="D155" s="167">
        <f>IF(F154+SUM(E$100:E154)=D$93,F154,D$93-SUM(E$100:E154))</f>
        <v>0</v>
      </c>
      <c r="E155" s="168">
        <f>IF(+J97&lt;F154,J97,D155)</f>
        <v>0</v>
      </c>
      <c r="F155" s="167">
        <f t="shared" si="28"/>
        <v>0</v>
      </c>
      <c r="G155" s="167">
        <f t="shared" si="29"/>
        <v>0</v>
      </c>
      <c r="H155" s="169">
        <f t="shared" si="26"/>
        <v>0</v>
      </c>
      <c r="I155" s="300">
        <f t="shared" si="27"/>
        <v>0</v>
      </c>
      <c r="J155" s="171">
        <f t="shared" si="30"/>
        <v>0</v>
      </c>
      <c r="K155" s="160"/>
      <c r="L155" s="317"/>
      <c r="M155" s="171">
        <f t="shared" si="31"/>
        <v>0</v>
      </c>
      <c r="N155" s="317"/>
      <c r="O155" s="171">
        <f t="shared" si="32"/>
        <v>0</v>
      </c>
      <c r="P155" s="171">
        <f t="shared" si="33"/>
        <v>0</v>
      </c>
      <c r="Q155" s="1"/>
      <c r="R155" s="1"/>
      <c r="S155" s="1"/>
      <c r="T155" s="1"/>
      <c r="U155" s="1"/>
    </row>
    <row r="156" spans="2:21">
      <c r="C156" s="156" t="s">
        <v>75</v>
      </c>
      <c r="D156" s="112"/>
      <c r="E156" s="112">
        <f>SUM(E100:E155)</f>
        <v>985777.3400000002</v>
      </c>
      <c r="F156" s="112"/>
      <c r="G156" s="112"/>
      <c r="H156" s="112">
        <f>SUM(H100:H155)</f>
        <v>3196229.5906008361</v>
      </c>
      <c r="I156" s="112">
        <f>SUM(I100:I155)</f>
        <v>3196229.5906008361</v>
      </c>
      <c r="J156" s="112">
        <f>SUM(J100:J155)</f>
        <v>0</v>
      </c>
      <c r="K156" s="112"/>
      <c r="L156" s="112"/>
      <c r="M156" s="112"/>
      <c r="N156" s="112"/>
      <c r="O156" s="112"/>
      <c r="P156" s="1"/>
      <c r="Q156" s="1"/>
      <c r="R156" s="1"/>
      <c r="S156" s="1"/>
      <c r="T156" s="1"/>
      <c r="U156" s="1"/>
    </row>
    <row r="157" spans="2:21">
      <c r="D157" s="2"/>
      <c r="E157" s="1"/>
      <c r="F157" s="1"/>
      <c r="G157" s="1"/>
      <c r="H157" s="1"/>
      <c r="I157" s="3"/>
      <c r="J157" s="3"/>
      <c r="K157" s="112"/>
      <c r="L157" s="3"/>
      <c r="M157" s="3"/>
      <c r="N157" s="3"/>
      <c r="O157" s="3"/>
      <c r="P157" s="1"/>
      <c r="Q157" s="1"/>
      <c r="R157" s="1"/>
      <c r="S157" s="1"/>
      <c r="T157" s="1"/>
      <c r="U157" s="1"/>
    </row>
    <row r="158" spans="2:21">
      <c r="C158" s="215" t="s">
        <v>90</v>
      </c>
      <c r="D158" s="2"/>
      <c r="E158" s="1"/>
      <c r="F158" s="1"/>
      <c r="G158" s="1"/>
      <c r="H158" s="1"/>
      <c r="I158" s="3"/>
      <c r="J158" s="3"/>
      <c r="K158" s="112"/>
      <c r="L158" s="3"/>
      <c r="M158" s="3"/>
      <c r="N158" s="3"/>
      <c r="O158" s="3"/>
      <c r="P158" s="1"/>
      <c r="Q158" s="1"/>
      <c r="R158" s="1"/>
      <c r="S158" s="1"/>
      <c r="T158" s="1"/>
      <c r="U158" s="1"/>
    </row>
    <row r="159" spans="2:21">
      <c r="D159" s="2"/>
      <c r="E159" s="1"/>
      <c r="F159" s="1"/>
      <c r="G159" s="1"/>
      <c r="H159" s="1"/>
      <c r="I159" s="3"/>
      <c r="J159" s="3"/>
      <c r="K159" s="112"/>
      <c r="L159" s="3"/>
      <c r="M159" s="3"/>
      <c r="N159" s="3"/>
      <c r="O159" s="3"/>
      <c r="P159" s="1"/>
      <c r="Q159" s="1"/>
      <c r="R159" s="1"/>
      <c r="S159" s="1"/>
      <c r="T159" s="1"/>
      <c r="U159" s="1"/>
    </row>
    <row r="160" spans="2:21">
      <c r="C160" s="172" t="s">
        <v>96</v>
      </c>
      <c r="D160" s="156"/>
      <c r="E160" s="156"/>
      <c r="F160" s="156"/>
      <c r="G160" s="156"/>
      <c r="H160" s="112"/>
      <c r="I160" s="112"/>
      <c r="J160" s="173"/>
      <c r="K160" s="173"/>
      <c r="L160" s="173"/>
      <c r="M160" s="173"/>
      <c r="N160" s="173"/>
      <c r="O160" s="173"/>
      <c r="P160" s="1"/>
      <c r="Q160" s="1"/>
      <c r="R160" s="1"/>
      <c r="S160" s="1"/>
      <c r="T160" s="1"/>
      <c r="U160" s="1"/>
    </row>
    <row r="161" spans="3:21">
      <c r="C161" s="216" t="s">
        <v>76</v>
      </c>
      <c r="D161" s="156"/>
      <c r="E161" s="156"/>
      <c r="F161" s="156"/>
      <c r="G161" s="156"/>
      <c r="H161" s="112"/>
      <c r="I161" s="112"/>
      <c r="J161" s="173"/>
      <c r="K161" s="173"/>
      <c r="L161" s="173"/>
      <c r="M161" s="173"/>
      <c r="N161" s="173"/>
      <c r="O161" s="173"/>
      <c r="P161" s="1"/>
      <c r="Q161" s="1"/>
      <c r="R161" s="1"/>
      <c r="S161" s="1"/>
      <c r="T161" s="1"/>
      <c r="U161" s="1"/>
    </row>
    <row r="162" spans="3:21">
      <c r="C162" s="216" t="s">
        <v>77</v>
      </c>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phoneticPr fontId="0" type="noConversion"/>
  <conditionalFormatting sqref="C17:C73">
    <cfRule type="cellIs" dxfId="45" priority="1" stopIfTrue="1" operator="equal">
      <formula>$I$10</formula>
    </cfRule>
  </conditionalFormatting>
  <conditionalFormatting sqref="C100:C155">
    <cfRule type="cellIs" dxfId="44"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U163"/>
  <sheetViews>
    <sheetView view="pageBreakPreview" topLeftCell="A70" zoomScale="85" zoomScaleNormal="100" workbookViewId="0">
      <selection activeCell="D24" sqref="D24:H24"/>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8.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3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t="str">
        <f>"For Calendar Year "&amp;V1-1&amp;" and Projected Year "&amp;V1</f>
        <v xml:space="preserve">For Calendar Year -1 and Projected Year </v>
      </c>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78338.095666520749</v>
      </c>
      <c r="P5" s="1"/>
      <c r="R5" s="1"/>
      <c r="S5" s="1"/>
      <c r="T5" s="1"/>
      <c r="U5" s="1"/>
    </row>
    <row r="6" spans="1:21" ht="15.75">
      <c r="C6" s="8"/>
      <c r="D6" s="2"/>
      <c r="E6" s="1"/>
      <c r="F6" s="1"/>
      <c r="G6" s="1"/>
      <c r="H6" s="119"/>
      <c r="I6" s="119"/>
      <c r="J6" s="120"/>
      <c r="K6" s="121" t="s">
        <v>243</v>
      </c>
      <c r="L6" s="122"/>
      <c r="M6" s="4"/>
      <c r="N6" s="123">
        <f>VLOOKUP(I10,C17:I73,6)</f>
        <v>78338.095666520749</v>
      </c>
      <c r="O6" s="1"/>
      <c r="P6" s="1"/>
      <c r="R6" s="1"/>
      <c r="S6" s="1"/>
      <c r="T6" s="1"/>
      <c r="U6" s="1"/>
    </row>
    <row r="7" spans="1:21" ht="13.5" thickBot="1">
      <c r="C7" s="124" t="s">
        <v>46</v>
      </c>
      <c r="D7" s="258" t="s">
        <v>199</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A9" s="104"/>
      <c r="C9" s="130" t="s">
        <v>48</v>
      </c>
      <c r="D9" s="224" t="s">
        <v>198</v>
      </c>
      <c r="E9" s="131"/>
      <c r="F9" s="131"/>
      <c r="G9" s="131"/>
      <c r="H9" s="131"/>
      <c r="I9" s="132"/>
      <c r="J9" s="133"/>
      <c r="O9" s="134"/>
      <c r="P9" s="4"/>
      <c r="R9" s="1"/>
      <c r="S9" s="1"/>
      <c r="T9" s="1"/>
      <c r="U9" s="1"/>
    </row>
    <row r="10" spans="1:21">
      <c r="C10" s="135" t="s">
        <v>49</v>
      </c>
      <c r="D10" s="136">
        <v>614753</v>
      </c>
      <c r="E10" s="63" t="s">
        <v>50</v>
      </c>
      <c r="F10" s="134"/>
      <c r="G10" s="137"/>
      <c r="H10" s="137"/>
      <c r="I10" s="138">
        <f>+OKT.WS.F.BPU.ATRR.Projected!R100</f>
        <v>2018</v>
      </c>
      <c r="J10" s="133"/>
      <c r="K10" s="112" t="s">
        <v>51</v>
      </c>
      <c r="O10" s="4"/>
      <c r="P10" s="4"/>
      <c r="R10" s="1"/>
      <c r="S10" s="1"/>
      <c r="T10" s="1"/>
      <c r="U10" s="1"/>
    </row>
    <row r="11" spans="1:21">
      <c r="C11" s="139" t="s">
        <v>52</v>
      </c>
      <c r="D11" s="140">
        <v>2011</v>
      </c>
      <c r="E11" s="139" t="s">
        <v>53</v>
      </c>
      <c r="F11" s="137"/>
      <c r="G11" s="7"/>
      <c r="H11" s="7"/>
      <c r="I11" s="141">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10</v>
      </c>
      <c r="E12" s="139" t="s">
        <v>55</v>
      </c>
      <c r="F12" s="137"/>
      <c r="G12" s="7"/>
      <c r="H12" s="7"/>
      <c r="I12" s="143">
        <f>OKT.WS.F.BPU.ATRR.Projected!$F$78</f>
        <v>0.11749102697326873</v>
      </c>
      <c r="J12" s="336"/>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15076.56031908646</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49" si="0">IF(D17=F16,"","IU")</f>
        <v>IU</v>
      </c>
      <c r="C17" s="341">
        <f>IF(D11= "","-",D11)</f>
        <v>2011</v>
      </c>
      <c r="D17" s="373">
        <v>956000</v>
      </c>
      <c r="E17" s="374">
        <v>1378.1704053213118</v>
      </c>
      <c r="F17" s="373">
        <v>954621.82959467871</v>
      </c>
      <c r="G17" s="375">
        <v>125484.70184654166</v>
      </c>
      <c r="H17" s="376">
        <v>125484.70184654166</v>
      </c>
      <c r="I17" s="342">
        <f>H17-G17</f>
        <v>0</v>
      </c>
      <c r="J17" s="173"/>
      <c r="K17" s="344">
        <f t="shared" ref="K17:K22" si="1">G17</f>
        <v>125484.70184654166</v>
      </c>
      <c r="L17" s="368">
        <f t="shared" ref="L17:L49" si="2">IF(K17&lt;&gt;0,+G17-K17,0)</f>
        <v>0</v>
      </c>
      <c r="M17" s="344">
        <f t="shared" ref="M17:M22" si="3">H17</f>
        <v>125484.70184654166</v>
      </c>
      <c r="N17" s="367">
        <f t="shared" ref="N17:N49" si="4">IF(M17&lt;&gt;0,+H17-M17,0)</f>
        <v>0</v>
      </c>
      <c r="O17" s="160">
        <f t="shared" ref="O17:O49" si="5">+N17-L17</f>
        <v>0</v>
      </c>
      <c r="P17" s="4"/>
      <c r="R17" s="1"/>
      <c r="S17" s="1"/>
      <c r="T17" s="1"/>
      <c r="U17" s="1"/>
    </row>
    <row r="18" spans="2:21">
      <c r="B18" t="str">
        <f t="shared" si="0"/>
        <v/>
      </c>
      <c r="C18" s="155">
        <f>IF(D11="","-",+C17+1)</f>
        <v>2012</v>
      </c>
      <c r="D18" s="377">
        <v>954621.82959467871</v>
      </c>
      <c r="E18" s="375">
        <v>10633.668760887396</v>
      </c>
      <c r="F18" s="377">
        <v>943988.16083379136</v>
      </c>
      <c r="G18" s="375">
        <v>101867.32341201812</v>
      </c>
      <c r="H18" s="376">
        <v>101867.32341201812</v>
      </c>
      <c r="I18" s="158">
        <v>0</v>
      </c>
      <c r="J18" s="173"/>
      <c r="K18" s="344">
        <f t="shared" si="1"/>
        <v>101867.32341201812</v>
      </c>
      <c r="L18" s="173">
        <f t="shared" si="2"/>
        <v>0</v>
      </c>
      <c r="M18" s="344">
        <f t="shared" si="3"/>
        <v>101867.32341201812</v>
      </c>
      <c r="N18" s="158">
        <f t="shared" si="4"/>
        <v>0</v>
      </c>
      <c r="O18" s="160">
        <f t="shared" si="5"/>
        <v>0</v>
      </c>
      <c r="P18" s="4"/>
      <c r="R18" s="1"/>
      <c r="S18" s="1"/>
      <c r="T18" s="1"/>
      <c r="U18" s="1"/>
    </row>
    <row r="19" spans="2:21">
      <c r="B19" t="str">
        <f t="shared" si="0"/>
        <v>IU</v>
      </c>
      <c r="C19" s="155">
        <f>IF(D11="","-",+C18+1)</f>
        <v>2013</v>
      </c>
      <c r="D19" s="377">
        <v>602741.16083379125</v>
      </c>
      <c r="E19" s="375">
        <v>10634.741311914131</v>
      </c>
      <c r="F19" s="377">
        <v>592106.41952187708</v>
      </c>
      <c r="G19" s="375">
        <v>75317.164005617815</v>
      </c>
      <c r="H19" s="376">
        <v>75317.164005617815</v>
      </c>
      <c r="I19" s="158">
        <v>0</v>
      </c>
      <c r="J19" s="173"/>
      <c r="K19" s="344">
        <f t="shared" si="1"/>
        <v>75317.164005617815</v>
      </c>
      <c r="L19" s="173">
        <f t="shared" ref="L19:L24" si="6">IF(K19&lt;&gt;0,+G19-K19,0)</f>
        <v>0</v>
      </c>
      <c r="M19" s="344">
        <f t="shared" si="3"/>
        <v>75317.164005617815</v>
      </c>
      <c r="N19" s="158">
        <f>IF(M19&lt;&gt;0,+H19-M19,0)</f>
        <v>0</v>
      </c>
      <c r="O19" s="160">
        <f>+N19-L19</f>
        <v>0</v>
      </c>
      <c r="P19" s="4"/>
      <c r="R19" s="1"/>
      <c r="S19" s="1"/>
      <c r="T19" s="1"/>
      <c r="U19" s="1"/>
    </row>
    <row r="20" spans="2:21">
      <c r="B20" t="str">
        <f t="shared" si="0"/>
        <v/>
      </c>
      <c r="C20" s="155">
        <f>IF(D11="","-",+C19+1)</f>
        <v>2014</v>
      </c>
      <c r="D20" s="377">
        <v>592106.41952187708</v>
      </c>
      <c r="E20" s="375">
        <v>10634.741311914131</v>
      </c>
      <c r="F20" s="377">
        <v>581471.67820996291</v>
      </c>
      <c r="G20" s="375">
        <v>74612.516014807363</v>
      </c>
      <c r="H20" s="376">
        <v>74612.516014807363</v>
      </c>
      <c r="I20" s="158">
        <v>0</v>
      </c>
      <c r="J20" s="173"/>
      <c r="K20" s="344">
        <f t="shared" si="1"/>
        <v>74612.516014807363</v>
      </c>
      <c r="L20" s="173">
        <f t="shared" si="6"/>
        <v>0</v>
      </c>
      <c r="M20" s="344">
        <f t="shared" si="3"/>
        <v>74612.516014807363</v>
      </c>
      <c r="N20" s="158">
        <f>IF(M20&lt;&gt;0,+H20-M20,0)</f>
        <v>0</v>
      </c>
      <c r="O20" s="160">
        <f>+N20-L20</f>
        <v>0</v>
      </c>
      <c r="P20" s="4"/>
      <c r="R20" s="1"/>
      <c r="S20" s="1"/>
      <c r="T20" s="1"/>
      <c r="U20" s="1"/>
    </row>
    <row r="21" spans="2:21">
      <c r="B21" t="str">
        <f t="shared" si="0"/>
        <v/>
      </c>
      <c r="C21" s="155">
        <f>IF(D12="","-",+C20+1)</f>
        <v>2015</v>
      </c>
      <c r="D21" s="377">
        <v>581471.67820996291</v>
      </c>
      <c r="E21" s="375">
        <v>10634.741311914131</v>
      </c>
      <c r="F21" s="377">
        <v>570836.93689804873</v>
      </c>
      <c r="G21" s="375">
        <v>69468.300328468598</v>
      </c>
      <c r="H21" s="376">
        <v>69468.300328468569</v>
      </c>
      <c r="I21" s="158">
        <v>0</v>
      </c>
      <c r="J21" s="173"/>
      <c r="K21" s="344">
        <f t="shared" si="1"/>
        <v>69468.300328468598</v>
      </c>
      <c r="L21" s="173">
        <f t="shared" si="6"/>
        <v>0</v>
      </c>
      <c r="M21" s="344">
        <f t="shared" si="3"/>
        <v>69468.300328468569</v>
      </c>
      <c r="N21" s="158">
        <f>IF(M21&lt;&gt;0,+H21-M21,0)</f>
        <v>0</v>
      </c>
      <c r="O21" s="160">
        <f>+N21-L21</f>
        <v>0</v>
      </c>
      <c r="P21" s="4"/>
      <c r="R21" s="1"/>
      <c r="S21" s="1"/>
      <c r="T21" s="1"/>
      <c r="U21" s="1"/>
    </row>
    <row r="22" spans="2:21">
      <c r="B22" t="str">
        <f t="shared" si="0"/>
        <v/>
      </c>
      <c r="C22" s="155">
        <f>IF(D11="","-",+C21+1)</f>
        <v>2016</v>
      </c>
      <c r="D22" s="377">
        <v>570836.93689804873</v>
      </c>
      <c r="E22" s="375">
        <v>12774.231778414165</v>
      </c>
      <c r="F22" s="377">
        <v>558062.70511963451</v>
      </c>
      <c r="G22" s="375">
        <v>72978.242931137109</v>
      </c>
      <c r="H22" s="376">
        <v>72978.242931137109</v>
      </c>
      <c r="I22" s="158">
        <f t="shared" ref="I22:I49" si="7">H22-G22</f>
        <v>0</v>
      </c>
      <c r="J22" s="158"/>
      <c r="K22" s="344">
        <f t="shared" si="1"/>
        <v>72978.242931137109</v>
      </c>
      <c r="L22" s="173">
        <f t="shared" si="6"/>
        <v>0</v>
      </c>
      <c r="M22" s="344">
        <f t="shared" si="3"/>
        <v>72978.242931137109</v>
      </c>
      <c r="N22" s="158">
        <f t="shared" si="4"/>
        <v>0</v>
      </c>
      <c r="O22" s="160">
        <f t="shared" si="5"/>
        <v>0</v>
      </c>
      <c r="P22" s="4"/>
      <c r="R22" s="1"/>
      <c r="S22" s="1"/>
      <c r="T22" s="1"/>
      <c r="U22" s="1"/>
    </row>
    <row r="23" spans="2:21">
      <c r="B23" t="str">
        <f t="shared" si="0"/>
        <v/>
      </c>
      <c r="C23" s="155">
        <f>IF(D11="","-",+C22+1)</f>
        <v>2017</v>
      </c>
      <c r="D23" s="377">
        <v>558062.70511963451</v>
      </c>
      <c r="E23" s="375">
        <v>12087.261057971307</v>
      </c>
      <c r="F23" s="377">
        <v>545975.44406166323</v>
      </c>
      <c r="G23" s="375">
        <v>72776.222858216002</v>
      </c>
      <c r="H23" s="376">
        <v>72776.222858216002</v>
      </c>
      <c r="I23" s="158">
        <f t="shared" si="7"/>
        <v>0</v>
      </c>
      <c r="J23" s="158"/>
      <c r="K23" s="344">
        <f>G23</f>
        <v>72776.222858216002</v>
      </c>
      <c r="L23" s="173">
        <f t="shared" si="6"/>
        <v>0</v>
      </c>
      <c r="M23" s="344">
        <f>H23</f>
        <v>72776.222858216002</v>
      </c>
      <c r="N23" s="158">
        <f>IF(M23&lt;&gt;0,+H23-M23,0)</f>
        <v>0</v>
      </c>
      <c r="O23" s="160">
        <f>+N23-L23</f>
        <v>0</v>
      </c>
      <c r="P23" s="4"/>
      <c r="R23" s="1"/>
      <c r="S23" s="1"/>
      <c r="T23" s="1"/>
      <c r="U23" s="1"/>
    </row>
    <row r="24" spans="2:21">
      <c r="B24" t="str">
        <f t="shared" si="0"/>
        <v/>
      </c>
      <c r="C24" s="155">
        <f>IF(D11="","-",+C23+1)</f>
        <v>2018</v>
      </c>
      <c r="D24" s="377">
        <v>545975.44406166323</v>
      </c>
      <c r="E24" s="375">
        <v>15076.56031908646</v>
      </c>
      <c r="F24" s="377">
        <v>530898.88374257681</v>
      </c>
      <c r="G24" s="375">
        <v>78338.095666520749</v>
      </c>
      <c r="H24" s="376">
        <v>78338.095666520749</v>
      </c>
      <c r="I24" s="158">
        <v>0</v>
      </c>
      <c r="J24" s="158"/>
      <c r="K24" s="344">
        <f>G24</f>
        <v>78338.095666520749</v>
      </c>
      <c r="L24" s="173">
        <f t="shared" si="6"/>
        <v>0</v>
      </c>
      <c r="M24" s="344">
        <f>H24</f>
        <v>78338.095666520749</v>
      </c>
      <c r="N24" s="158">
        <f>IF(M24&lt;&gt;0,+H24-M24,0)</f>
        <v>0</v>
      </c>
      <c r="O24" s="160">
        <f>+N24-L24</f>
        <v>0</v>
      </c>
      <c r="P24" s="4"/>
      <c r="R24" s="1"/>
      <c r="S24" s="1"/>
      <c r="T24" s="1"/>
      <c r="U24" s="1"/>
    </row>
    <row r="25" spans="2:21">
      <c r="B25" t="str">
        <f t="shared" si="0"/>
        <v/>
      </c>
      <c r="C25" s="155">
        <f>IF(D11="","-",+C24+1)</f>
        <v>2019</v>
      </c>
      <c r="D25" s="164">
        <f>IF(F24+SUM(E$17:E24)=D$10,F24,D$10-SUM(E$17:E24))</f>
        <v>530898.88374257681</v>
      </c>
      <c r="E25" s="162">
        <f>IF(+I14&lt;F24,I14,D25)</f>
        <v>15076.56031908646</v>
      </c>
      <c r="F25" s="161">
        <f t="shared" ref="F25:F50" si="8">+D25-E25</f>
        <v>515822.32342349034</v>
      </c>
      <c r="G25" s="163">
        <f t="shared" ref="G25:G73" si="9">(D25+F25)/2*I$12+E25</f>
        <v>76566.735111406859</v>
      </c>
      <c r="H25" s="145">
        <f t="shared" ref="H25:H73" si="10">+(D25+F25)/2*I$13+E25</f>
        <v>76566.735111406859</v>
      </c>
      <c r="I25" s="158">
        <f t="shared" si="7"/>
        <v>0</v>
      </c>
      <c r="J25" s="158"/>
      <c r="K25" s="316"/>
      <c r="L25" s="160">
        <f t="shared" si="2"/>
        <v>0</v>
      </c>
      <c r="M25" s="316"/>
      <c r="N25" s="160">
        <f t="shared" si="4"/>
        <v>0</v>
      </c>
      <c r="O25" s="160">
        <f t="shared" si="5"/>
        <v>0</v>
      </c>
      <c r="P25" s="4"/>
      <c r="R25" s="1"/>
      <c r="S25" s="1"/>
      <c r="T25" s="1"/>
      <c r="U25" s="1"/>
    </row>
    <row r="26" spans="2:21">
      <c r="B26" t="str">
        <f t="shared" si="0"/>
        <v/>
      </c>
      <c r="C26" s="155">
        <f>IF(D11="","-",+C25+1)</f>
        <v>2020</v>
      </c>
      <c r="D26" s="164">
        <f>IF(F25+SUM(E$17:E25)=D$10,F25,D$10-SUM(E$17:E25))</f>
        <v>515822.32342349034</v>
      </c>
      <c r="E26" s="162">
        <f>IF(+I14&lt;F25,I14,D26)</f>
        <v>15076.56031908646</v>
      </c>
      <c r="F26" s="161">
        <f t="shared" si="8"/>
        <v>500745.76310440386</v>
      </c>
      <c r="G26" s="163">
        <f t="shared" si="9"/>
        <v>74795.374556292954</v>
      </c>
      <c r="H26" s="145">
        <f t="shared" si="10"/>
        <v>74795.374556292954</v>
      </c>
      <c r="I26" s="158">
        <f t="shared" si="7"/>
        <v>0</v>
      </c>
      <c r="J26" s="158"/>
      <c r="K26" s="316"/>
      <c r="L26" s="160">
        <f t="shared" si="2"/>
        <v>0</v>
      </c>
      <c r="M26" s="316"/>
      <c r="N26" s="160">
        <f t="shared" si="4"/>
        <v>0</v>
      </c>
      <c r="O26" s="160">
        <f t="shared" si="5"/>
        <v>0</v>
      </c>
      <c r="P26" s="4"/>
      <c r="R26" s="1"/>
      <c r="S26" s="1"/>
      <c r="T26" s="1"/>
      <c r="U26" s="1"/>
    </row>
    <row r="27" spans="2:21">
      <c r="B27" t="str">
        <f t="shared" si="0"/>
        <v/>
      </c>
      <c r="C27" s="155">
        <f>IF(D11="","-",+C26+1)</f>
        <v>2021</v>
      </c>
      <c r="D27" s="164">
        <f>IF(F26+SUM(E$17:E26)=D$10,F26,D$10-SUM(E$17:E26))</f>
        <v>500745.76310440386</v>
      </c>
      <c r="E27" s="162">
        <f>IF(+I14&lt;F26,I14,D27)</f>
        <v>15076.56031908646</v>
      </c>
      <c r="F27" s="161">
        <f t="shared" si="8"/>
        <v>485669.20278531738</v>
      </c>
      <c r="G27" s="163">
        <f t="shared" si="9"/>
        <v>73024.01400117905</v>
      </c>
      <c r="H27" s="145">
        <f t="shared" si="10"/>
        <v>73024.01400117905</v>
      </c>
      <c r="I27" s="158">
        <f t="shared" si="7"/>
        <v>0</v>
      </c>
      <c r="J27" s="158"/>
      <c r="K27" s="316"/>
      <c r="L27" s="160">
        <f t="shared" si="2"/>
        <v>0</v>
      </c>
      <c r="M27" s="316"/>
      <c r="N27" s="160">
        <f t="shared" si="4"/>
        <v>0</v>
      </c>
      <c r="O27" s="160">
        <f t="shared" si="5"/>
        <v>0</v>
      </c>
      <c r="P27" s="4"/>
      <c r="R27" s="1"/>
      <c r="S27" s="1"/>
      <c r="T27" s="1"/>
      <c r="U27" s="1"/>
    </row>
    <row r="28" spans="2:21">
      <c r="B28" t="str">
        <f t="shared" si="0"/>
        <v/>
      </c>
      <c r="C28" s="155">
        <f>IF(D11="","-",+C27+1)</f>
        <v>2022</v>
      </c>
      <c r="D28" s="164">
        <f>IF(F27+SUM(E$17:E27)=D$10,F27,D$10-SUM(E$17:E27))</f>
        <v>485669.20278531738</v>
      </c>
      <c r="E28" s="162">
        <f>IF(+I14&lt;F27,I14,D28)</f>
        <v>15076.56031908646</v>
      </c>
      <c r="F28" s="161">
        <f t="shared" si="8"/>
        <v>470592.6424662309</v>
      </c>
      <c r="G28" s="163">
        <f t="shared" si="9"/>
        <v>71252.65344606516</v>
      </c>
      <c r="H28" s="145">
        <f t="shared" si="10"/>
        <v>71252.65344606516</v>
      </c>
      <c r="I28" s="158">
        <f t="shared" si="7"/>
        <v>0</v>
      </c>
      <c r="J28" s="158"/>
      <c r="K28" s="316"/>
      <c r="L28" s="160">
        <f t="shared" si="2"/>
        <v>0</v>
      </c>
      <c r="M28" s="316"/>
      <c r="N28" s="160">
        <f t="shared" si="4"/>
        <v>0</v>
      </c>
      <c r="O28" s="160">
        <f t="shared" si="5"/>
        <v>0</v>
      </c>
      <c r="P28" s="4"/>
      <c r="R28" s="1"/>
      <c r="S28" s="1"/>
      <c r="T28" s="1"/>
      <c r="U28" s="1"/>
    </row>
    <row r="29" spans="2:21">
      <c r="B29" t="str">
        <f t="shared" si="0"/>
        <v/>
      </c>
      <c r="C29" s="155">
        <f>IF(D11="","-",+C28+1)</f>
        <v>2023</v>
      </c>
      <c r="D29" s="164">
        <f>IF(F28+SUM(E$17:E28)=D$10,F28,D$10-SUM(E$17:E28))</f>
        <v>470592.6424662309</v>
      </c>
      <c r="E29" s="162">
        <f>IF(+I14&lt;F28,I14,D29)</f>
        <v>15076.56031908646</v>
      </c>
      <c r="F29" s="161">
        <f t="shared" si="8"/>
        <v>455516.08214714442</v>
      </c>
      <c r="G29" s="163">
        <f t="shared" si="9"/>
        <v>69481.292890951241</v>
      </c>
      <c r="H29" s="145">
        <f t="shared" si="10"/>
        <v>69481.292890951241</v>
      </c>
      <c r="I29" s="158">
        <f t="shared" si="7"/>
        <v>0</v>
      </c>
      <c r="J29" s="158"/>
      <c r="K29" s="316"/>
      <c r="L29" s="160">
        <f t="shared" si="2"/>
        <v>0</v>
      </c>
      <c r="M29" s="316"/>
      <c r="N29" s="160">
        <f t="shared" si="4"/>
        <v>0</v>
      </c>
      <c r="O29" s="160">
        <f t="shared" si="5"/>
        <v>0</v>
      </c>
      <c r="P29" s="4"/>
      <c r="R29" s="1"/>
      <c r="S29" s="1"/>
      <c r="T29" s="1"/>
      <c r="U29" s="1"/>
    </row>
    <row r="30" spans="2:21">
      <c r="B30" t="str">
        <f t="shared" si="0"/>
        <v/>
      </c>
      <c r="C30" s="155">
        <f>IF(D11="","-",+C29+1)</f>
        <v>2024</v>
      </c>
      <c r="D30" s="164">
        <f>IF(F29+SUM(E$17:E29)=D$10,F29,D$10-SUM(E$17:E29))</f>
        <v>455516.08214714442</v>
      </c>
      <c r="E30" s="162">
        <f>IF(+I14&lt;F29,I14,D30)</f>
        <v>15076.56031908646</v>
      </c>
      <c r="F30" s="161">
        <f t="shared" si="8"/>
        <v>440439.52182805794</v>
      </c>
      <c r="G30" s="163">
        <f t="shared" si="9"/>
        <v>67709.932335837351</v>
      </c>
      <c r="H30" s="145">
        <f t="shared" si="10"/>
        <v>67709.932335837351</v>
      </c>
      <c r="I30" s="158">
        <f t="shared" si="7"/>
        <v>0</v>
      </c>
      <c r="J30" s="158"/>
      <c r="K30" s="316"/>
      <c r="L30" s="160">
        <f t="shared" si="2"/>
        <v>0</v>
      </c>
      <c r="M30" s="316"/>
      <c r="N30" s="160">
        <f t="shared" si="4"/>
        <v>0</v>
      </c>
      <c r="O30" s="160">
        <f t="shared" si="5"/>
        <v>0</v>
      </c>
      <c r="P30" s="4"/>
      <c r="R30" s="1"/>
      <c r="S30" s="1"/>
      <c r="T30" s="1"/>
      <c r="U30" s="1"/>
    </row>
    <row r="31" spans="2:21">
      <c r="B31" t="str">
        <f t="shared" si="0"/>
        <v/>
      </c>
      <c r="C31" s="155">
        <f>IF(D11="","-",+C30+1)</f>
        <v>2025</v>
      </c>
      <c r="D31" s="164">
        <f>IF(F30+SUM(E$17:E30)=D$10,F30,D$10-SUM(E$17:E30))</f>
        <v>440439.52182805794</v>
      </c>
      <c r="E31" s="162">
        <f>IF(+I14&lt;F30,I14,D31)</f>
        <v>15076.56031908646</v>
      </c>
      <c r="F31" s="161">
        <f t="shared" si="8"/>
        <v>425362.96150897146</v>
      </c>
      <c r="G31" s="163">
        <f t="shared" si="9"/>
        <v>65938.571780723447</v>
      </c>
      <c r="H31" s="145">
        <f t="shared" si="10"/>
        <v>65938.571780723447</v>
      </c>
      <c r="I31" s="158">
        <f t="shared" si="7"/>
        <v>0</v>
      </c>
      <c r="J31" s="173"/>
      <c r="K31" s="316"/>
      <c r="L31" s="160">
        <f>IF(K31&lt;&gt;0,+G31-K31,0)</f>
        <v>0</v>
      </c>
      <c r="M31" s="316"/>
      <c r="N31" s="160">
        <f>IF(M31&lt;&gt;0,+H31-M31,0)</f>
        <v>0</v>
      </c>
      <c r="O31" s="160">
        <f>+N31-L31</f>
        <v>0</v>
      </c>
      <c r="P31" s="4"/>
      <c r="Q31" s="7"/>
      <c r="R31" s="4"/>
      <c r="S31" s="4"/>
      <c r="T31" s="4"/>
      <c r="U31" s="1"/>
    </row>
    <row r="32" spans="2:21">
      <c r="B32" t="str">
        <f t="shared" si="0"/>
        <v/>
      </c>
      <c r="C32" s="155">
        <f>IF(D12="","-",+C31+1)</f>
        <v>2026</v>
      </c>
      <c r="D32" s="164">
        <f>IF(F31+SUM(E$17:E31)=D$10,F31,D$10-SUM(E$17:E31))</f>
        <v>425362.96150897146</v>
      </c>
      <c r="E32" s="162">
        <f>IF(+I14&lt;F31,I14,D32)</f>
        <v>15076.56031908646</v>
      </c>
      <c r="F32" s="161">
        <f>+D32-E32</f>
        <v>410286.40118988499</v>
      </c>
      <c r="G32" s="163">
        <f t="shared" si="9"/>
        <v>64167.211225609542</v>
      </c>
      <c r="H32" s="145">
        <f t="shared" si="10"/>
        <v>64167.211225609542</v>
      </c>
      <c r="I32" s="158">
        <f>H32-G32</f>
        <v>0</v>
      </c>
      <c r="J32" s="173"/>
      <c r="K32" s="316"/>
      <c r="L32" s="160">
        <f>IF(K32&lt;&gt;0,+G32-K32,0)</f>
        <v>0</v>
      </c>
      <c r="M32" s="316"/>
      <c r="N32" s="160">
        <f>IF(M32&lt;&gt;0,+H32-M32,0)</f>
        <v>0</v>
      </c>
      <c r="O32" s="160">
        <f>+N32-L32</f>
        <v>0</v>
      </c>
      <c r="P32" s="4"/>
      <c r="Q32" s="7"/>
      <c r="R32" s="4"/>
      <c r="S32" s="4"/>
      <c r="T32" s="4"/>
      <c r="U32" s="1"/>
    </row>
    <row r="33" spans="2:21">
      <c r="B33" t="str">
        <f t="shared" si="0"/>
        <v/>
      </c>
      <c r="C33" s="155">
        <f>IF(D13="","-",+C32+1)</f>
        <v>2027</v>
      </c>
      <c r="D33" s="164">
        <f>IF(F32+SUM(E$17:E32)=D$10,F32,D$10-SUM(E$17:E32))</f>
        <v>410286.40118988499</v>
      </c>
      <c r="E33" s="162">
        <f>IF(+I14&lt;F31,I14,D33)</f>
        <v>15076.56031908646</v>
      </c>
      <c r="F33" s="161">
        <f t="shared" si="8"/>
        <v>395209.84087079851</v>
      </c>
      <c r="G33" s="163">
        <f t="shared" si="9"/>
        <v>62395.850670495638</v>
      </c>
      <c r="H33" s="145">
        <f t="shared" si="10"/>
        <v>62395.850670495638</v>
      </c>
      <c r="I33" s="158">
        <f t="shared" si="7"/>
        <v>0</v>
      </c>
      <c r="J33" s="158"/>
      <c r="K33" s="316"/>
      <c r="L33" s="160">
        <f>IF(K33&lt;&gt;0,+G33-K33,0)</f>
        <v>0</v>
      </c>
      <c r="M33" s="316"/>
      <c r="N33" s="160">
        <f>IF(M33&lt;&gt;0,+H33-M33,0)</f>
        <v>0</v>
      </c>
      <c r="O33" s="160">
        <f>+N33-L33</f>
        <v>0</v>
      </c>
      <c r="P33" s="4"/>
      <c r="R33" s="1"/>
      <c r="S33" s="1"/>
      <c r="T33" s="1"/>
      <c r="U33" s="1"/>
    </row>
    <row r="34" spans="2:21">
      <c r="B34" t="str">
        <f t="shared" si="0"/>
        <v/>
      </c>
      <c r="C34" s="155">
        <f>IF(D14="","-",+C33+1)</f>
        <v>2028</v>
      </c>
      <c r="D34" s="431">
        <f>IF(F33+SUM(E$17:E33)=D$10,F33,D$10-SUM(E$17:E33))</f>
        <v>395209.84087079851</v>
      </c>
      <c r="E34" s="424">
        <f>IF(+I14&lt;F33,I14,D34)</f>
        <v>15076.56031908646</v>
      </c>
      <c r="F34" s="423">
        <f t="shared" si="8"/>
        <v>380133.28055171203</v>
      </c>
      <c r="G34" s="425">
        <f t="shared" si="9"/>
        <v>60624.490115381748</v>
      </c>
      <c r="H34" s="426">
        <f t="shared" si="10"/>
        <v>60624.490115381748</v>
      </c>
      <c r="I34" s="427">
        <f t="shared" si="7"/>
        <v>0</v>
      </c>
      <c r="J34" s="427"/>
      <c r="K34" s="428"/>
      <c r="L34" s="429">
        <f t="shared" si="2"/>
        <v>0</v>
      </c>
      <c r="M34" s="428"/>
      <c r="N34" s="429">
        <f t="shared" si="4"/>
        <v>0</v>
      </c>
      <c r="O34" s="429">
        <f t="shared" si="5"/>
        <v>0</v>
      </c>
      <c r="P34" s="430"/>
      <c r="Q34" s="290"/>
      <c r="R34" s="430"/>
      <c r="S34" s="430"/>
      <c r="T34" s="430"/>
      <c r="U34" s="1"/>
    </row>
    <row r="35" spans="2:21">
      <c r="B35" t="str">
        <f t="shared" si="0"/>
        <v/>
      </c>
      <c r="C35" s="155">
        <f>IF(D11="","-",+C34+1)</f>
        <v>2029</v>
      </c>
      <c r="D35" s="164">
        <f>IF(F34+SUM(E$17:E34)=D$10,F34,D$10-SUM(E$17:E34))</f>
        <v>380133.28055171203</v>
      </c>
      <c r="E35" s="162">
        <f>IF(+I14&lt;F34,I14,D35)</f>
        <v>15076.56031908646</v>
      </c>
      <c r="F35" s="161">
        <f t="shared" si="8"/>
        <v>365056.72023262555</v>
      </c>
      <c r="G35" s="163">
        <f t="shared" si="9"/>
        <v>58853.129560267829</v>
      </c>
      <c r="H35" s="145">
        <f t="shared" si="10"/>
        <v>58853.129560267829</v>
      </c>
      <c r="I35" s="158">
        <f t="shared" si="7"/>
        <v>0</v>
      </c>
      <c r="J35" s="158"/>
      <c r="K35" s="316"/>
      <c r="L35" s="160">
        <f t="shared" si="2"/>
        <v>0</v>
      </c>
      <c r="M35" s="316"/>
      <c r="N35" s="160">
        <f t="shared" si="4"/>
        <v>0</v>
      </c>
      <c r="O35" s="160">
        <f t="shared" si="5"/>
        <v>0</v>
      </c>
      <c r="P35" s="4"/>
      <c r="R35" s="1"/>
      <c r="S35" s="1"/>
      <c r="T35" s="1"/>
      <c r="U35" s="1"/>
    </row>
    <row r="36" spans="2:21">
      <c r="B36" t="str">
        <f t="shared" si="0"/>
        <v/>
      </c>
      <c r="C36" s="155">
        <f>IF(D11="","-",+C35+1)</f>
        <v>2030</v>
      </c>
      <c r="D36" s="164">
        <f>IF(F35+SUM(E$17:E35)=D$10,F35,D$10-SUM(E$17:E35))</f>
        <v>365056.72023262555</v>
      </c>
      <c r="E36" s="162">
        <f>IF(+I14&lt;F35,I14,D36)</f>
        <v>15076.56031908646</v>
      </c>
      <c r="F36" s="161">
        <f t="shared" si="8"/>
        <v>349980.15991353907</v>
      </c>
      <c r="G36" s="163">
        <f t="shared" si="9"/>
        <v>57081.769005153939</v>
      </c>
      <c r="H36" s="145">
        <f t="shared" si="10"/>
        <v>57081.769005153939</v>
      </c>
      <c r="I36" s="158">
        <f t="shared" si="7"/>
        <v>0</v>
      </c>
      <c r="J36" s="158"/>
      <c r="K36" s="316"/>
      <c r="L36" s="160">
        <f t="shared" si="2"/>
        <v>0</v>
      </c>
      <c r="M36" s="316"/>
      <c r="N36" s="160">
        <f t="shared" si="4"/>
        <v>0</v>
      </c>
      <c r="O36" s="160">
        <f t="shared" si="5"/>
        <v>0</v>
      </c>
      <c r="P36" s="4"/>
      <c r="R36" s="1"/>
      <c r="S36" s="1"/>
      <c r="T36" s="1"/>
      <c r="U36" s="1"/>
    </row>
    <row r="37" spans="2:21">
      <c r="B37" t="str">
        <f t="shared" si="0"/>
        <v/>
      </c>
      <c r="C37" s="155">
        <f>IF(D11="","-",+C36+1)</f>
        <v>2031</v>
      </c>
      <c r="D37" s="164">
        <f>IF(F36+SUM(E$17:E36)=D$10,F36,D$10-SUM(E$17:E36))</f>
        <v>349980.15991353907</v>
      </c>
      <c r="E37" s="162">
        <f>IF(+I14&lt;F36,I14,D37)</f>
        <v>15076.56031908646</v>
      </c>
      <c r="F37" s="161">
        <f t="shared" si="8"/>
        <v>334903.59959445259</v>
      </c>
      <c r="G37" s="163">
        <f t="shared" si="9"/>
        <v>55310.40845004002</v>
      </c>
      <c r="H37" s="145">
        <f t="shared" si="10"/>
        <v>55310.40845004002</v>
      </c>
      <c r="I37" s="158">
        <f t="shared" si="7"/>
        <v>0</v>
      </c>
      <c r="J37" s="158"/>
      <c r="K37" s="316"/>
      <c r="L37" s="160">
        <f t="shared" si="2"/>
        <v>0</v>
      </c>
      <c r="M37" s="316"/>
      <c r="N37" s="160">
        <f t="shared" si="4"/>
        <v>0</v>
      </c>
      <c r="O37" s="160">
        <f t="shared" si="5"/>
        <v>0</v>
      </c>
      <c r="P37" s="4"/>
      <c r="R37" s="1"/>
      <c r="S37" s="1"/>
      <c r="T37" s="1"/>
      <c r="U37" s="1"/>
    </row>
    <row r="38" spans="2:21">
      <c r="B38" t="str">
        <f t="shared" si="0"/>
        <v/>
      </c>
      <c r="C38" s="155">
        <f>IF(D11="","-",+C37+1)</f>
        <v>2032</v>
      </c>
      <c r="D38" s="164">
        <f>IF(F37+SUM(E$17:E37)=D$10,F37,D$10-SUM(E$17:E37))</f>
        <v>334903.59959445259</v>
      </c>
      <c r="E38" s="162">
        <f>IF(+I14&lt;F37,I14,D38)</f>
        <v>15076.56031908646</v>
      </c>
      <c r="F38" s="161">
        <f t="shared" si="8"/>
        <v>319827.03927536611</v>
      </c>
      <c r="G38" s="163">
        <f t="shared" si="9"/>
        <v>53539.047894926131</v>
      </c>
      <c r="H38" s="145">
        <f t="shared" si="10"/>
        <v>53539.047894926131</v>
      </c>
      <c r="I38" s="158">
        <f t="shared" si="7"/>
        <v>0</v>
      </c>
      <c r="J38" s="158"/>
      <c r="K38" s="316"/>
      <c r="L38" s="160">
        <f t="shared" si="2"/>
        <v>0</v>
      </c>
      <c r="M38" s="316"/>
      <c r="N38" s="160">
        <f t="shared" si="4"/>
        <v>0</v>
      </c>
      <c r="O38" s="160">
        <f t="shared" si="5"/>
        <v>0</v>
      </c>
      <c r="P38" s="4"/>
      <c r="R38" s="1"/>
      <c r="S38" s="1"/>
      <c r="T38" s="1"/>
      <c r="U38" s="1"/>
    </row>
    <row r="39" spans="2:21">
      <c r="B39" t="str">
        <f t="shared" si="0"/>
        <v/>
      </c>
      <c r="C39" s="155">
        <f>IF(D11="","-",+C38+1)</f>
        <v>2033</v>
      </c>
      <c r="D39" s="164">
        <f>IF(F38+SUM(E$17:E38)=D$10,F38,D$10-SUM(E$17:E38))</f>
        <v>319827.03927536611</v>
      </c>
      <c r="E39" s="162">
        <f>IF(+I14&lt;F38,I14,D39)</f>
        <v>15076.56031908646</v>
      </c>
      <c r="F39" s="161">
        <f t="shared" si="8"/>
        <v>304750.47895627964</v>
      </c>
      <c r="G39" s="163">
        <f t="shared" si="9"/>
        <v>51767.687339812226</v>
      </c>
      <c r="H39" s="145">
        <f t="shared" si="10"/>
        <v>51767.687339812226</v>
      </c>
      <c r="I39" s="158">
        <f t="shared" si="7"/>
        <v>0</v>
      </c>
      <c r="J39" s="158"/>
      <c r="K39" s="316"/>
      <c r="L39" s="160">
        <f t="shared" si="2"/>
        <v>0</v>
      </c>
      <c r="M39" s="316"/>
      <c r="N39" s="160">
        <f t="shared" si="4"/>
        <v>0</v>
      </c>
      <c r="O39" s="160">
        <f t="shared" si="5"/>
        <v>0</v>
      </c>
      <c r="P39" s="4"/>
      <c r="R39" s="1"/>
      <c r="S39" s="1"/>
      <c r="T39" s="1"/>
      <c r="U39" s="1"/>
    </row>
    <row r="40" spans="2:21">
      <c r="B40" t="str">
        <f t="shared" si="0"/>
        <v/>
      </c>
      <c r="C40" s="155">
        <f>IF(D11="","-",+C39+1)</f>
        <v>2034</v>
      </c>
      <c r="D40" s="164">
        <f>IF(F39+SUM(E$17:E39)=D$10,F39,D$10-SUM(E$17:E39))</f>
        <v>304750.47895627964</v>
      </c>
      <c r="E40" s="162">
        <f>IF(+I14&lt;F39,I14,D40)</f>
        <v>15076.56031908646</v>
      </c>
      <c r="F40" s="161">
        <f t="shared" si="8"/>
        <v>289673.91863719316</v>
      </c>
      <c r="G40" s="163">
        <f t="shared" si="9"/>
        <v>49996.326784698322</v>
      </c>
      <c r="H40" s="145">
        <f t="shared" si="10"/>
        <v>49996.326784698322</v>
      </c>
      <c r="I40" s="158">
        <f t="shared" si="7"/>
        <v>0</v>
      </c>
      <c r="J40" s="158"/>
      <c r="K40" s="316"/>
      <c r="L40" s="160">
        <f t="shared" si="2"/>
        <v>0</v>
      </c>
      <c r="M40" s="316"/>
      <c r="N40" s="160">
        <f t="shared" si="4"/>
        <v>0</v>
      </c>
      <c r="O40" s="160">
        <f t="shared" si="5"/>
        <v>0</v>
      </c>
      <c r="P40" s="4"/>
      <c r="R40" s="1"/>
      <c r="S40" s="1"/>
      <c r="T40" s="1"/>
      <c r="U40" s="1"/>
    </row>
    <row r="41" spans="2:21">
      <c r="B41" t="str">
        <f t="shared" si="0"/>
        <v/>
      </c>
      <c r="C41" s="155">
        <f>IF(D12="","-",+C40+1)</f>
        <v>2035</v>
      </c>
      <c r="D41" s="164">
        <f>IF(F40+SUM(E$17:E40)=D$10,F40,D$10-SUM(E$17:E40))</f>
        <v>289673.91863719316</v>
      </c>
      <c r="E41" s="162">
        <f>IF(+I14&lt;F40,I14,D41)</f>
        <v>15076.56031908646</v>
      </c>
      <c r="F41" s="161">
        <f t="shared" si="8"/>
        <v>274597.35831810668</v>
      </c>
      <c r="G41" s="163">
        <f t="shared" si="9"/>
        <v>48224.966229584417</v>
      </c>
      <c r="H41" s="145">
        <f t="shared" si="10"/>
        <v>48224.966229584417</v>
      </c>
      <c r="I41" s="158">
        <f t="shared" si="7"/>
        <v>0</v>
      </c>
      <c r="J41" s="158"/>
      <c r="K41" s="316"/>
      <c r="L41" s="160">
        <f t="shared" si="2"/>
        <v>0</v>
      </c>
      <c r="M41" s="316"/>
      <c r="N41" s="160">
        <f t="shared" si="4"/>
        <v>0</v>
      </c>
      <c r="O41" s="160">
        <f t="shared" si="5"/>
        <v>0</v>
      </c>
      <c r="P41" s="4"/>
      <c r="R41" s="1"/>
      <c r="S41" s="1"/>
      <c r="T41" s="1"/>
      <c r="U41" s="1"/>
    </row>
    <row r="42" spans="2:21">
      <c r="B42" t="str">
        <f t="shared" si="0"/>
        <v/>
      </c>
      <c r="C42" s="155">
        <f>IF(D13="","-",+C41+1)</f>
        <v>2036</v>
      </c>
      <c r="D42" s="164">
        <f>IF(F41+SUM(E$17:E41)=D$10,F41,D$10-SUM(E$17:E41))</f>
        <v>274597.35831810668</v>
      </c>
      <c r="E42" s="162">
        <f>IF(+I14&lt;F41,I14,D42)</f>
        <v>15076.56031908646</v>
      </c>
      <c r="F42" s="161">
        <f t="shared" si="8"/>
        <v>259520.79799902023</v>
      </c>
      <c r="G42" s="163">
        <f t="shared" si="9"/>
        <v>46453.605674470527</v>
      </c>
      <c r="H42" s="145">
        <f t="shared" si="10"/>
        <v>46453.605674470527</v>
      </c>
      <c r="I42" s="158">
        <f t="shared" si="7"/>
        <v>0</v>
      </c>
      <c r="J42" s="158"/>
      <c r="K42" s="316"/>
      <c r="L42" s="160">
        <f t="shared" si="2"/>
        <v>0</v>
      </c>
      <c r="M42" s="316"/>
      <c r="N42" s="160">
        <f t="shared" si="4"/>
        <v>0</v>
      </c>
      <c r="O42" s="160">
        <f t="shared" si="5"/>
        <v>0</v>
      </c>
      <c r="P42" s="4"/>
      <c r="R42" s="1"/>
      <c r="S42" s="1"/>
      <c r="T42" s="1"/>
      <c r="U42" s="1"/>
    </row>
    <row r="43" spans="2:21">
      <c r="B43" t="str">
        <f t="shared" si="0"/>
        <v/>
      </c>
      <c r="C43" s="155">
        <f>IF(D14="","-",+C42+1)</f>
        <v>2037</v>
      </c>
      <c r="D43" s="164">
        <f>IF(F42+SUM(E$17:E42)=D$10,F42,D$10-SUM(E$17:E42))</f>
        <v>259520.79799902023</v>
      </c>
      <c r="E43" s="162">
        <f>IF(+I14&lt;F42,I14,D43)</f>
        <v>15076.56031908646</v>
      </c>
      <c r="F43" s="161">
        <f t="shared" si="8"/>
        <v>244444.23767993378</v>
      </c>
      <c r="G43" s="163">
        <f t="shared" si="9"/>
        <v>44682.245119356623</v>
      </c>
      <c r="H43" s="145">
        <f t="shared" si="10"/>
        <v>44682.245119356623</v>
      </c>
      <c r="I43" s="158">
        <f t="shared" si="7"/>
        <v>0</v>
      </c>
      <c r="J43" s="158"/>
      <c r="K43" s="316"/>
      <c r="L43" s="160">
        <f t="shared" si="2"/>
        <v>0</v>
      </c>
      <c r="M43" s="316"/>
      <c r="N43" s="160">
        <f t="shared" si="4"/>
        <v>0</v>
      </c>
      <c r="O43" s="160">
        <f t="shared" si="5"/>
        <v>0</v>
      </c>
      <c r="P43" s="4"/>
      <c r="R43" s="1"/>
      <c r="S43" s="1"/>
      <c r="T43" s="1"/>
      <c r="U43" s="1"/>
    </row>
    <row r="44" spans="2:21">
      <c r="B44" t="str">
        <f t="shared" si="0"/>
        <v/>
      </c>
      <c r="C44" s="155">
        <f>IF(D11="","-",+C43+1)</f>
        <v>2038</v>
      </c>
      <c r="D44" s="164">
        <f>IF(F43+SUM(E$17:E43)=D$10,F43,D$10-SUM(E$17:E43))</f>
        <v>244444.23767993378</v>
      </c>
      <c r="E44" s="162">
        <f>IF(+I14&lt;F43,I14,D44)</f>
        <v>15076.56031908646</v>
      </c>
      <c r="F44" s="161">
        <f t="shared" si="8"/>
        <v>229367.67736084733</v>
      </c>
      <c r="G44" s="163">
        <f t="shared" si="9"/>
        <v>42910.884564242726</v>
      </c>
      <c r="H44" s="145">
        <f t="shared" si="10"/>
        <v>42910.884564242726</v>
      </c>
      <c r="I44" s="158">
        <f t="shared" si="7"/>
        <v>0</v>
      </c>
      <c r="J44" s="158"/>
      <c r="K44" s="316"/>
      <c r="L44" s="160">
        <f t="shared" si="2"/>
        <v>0</v>
      </c>
      <c r="M44" s="316"/>
      <c r="N44" s="160">
        <f t="shared" si="4"/>
        <v>0</v>
      </c>
      <c r="O44" s="160">
        <f t="shared" si="5"/>
        <v>0</v>
      </c>
      <c r="P44" s="4"/>
      <c r="R44" s="1"/>
      <c r="S44" s="1"/>
      <c r="T44" s="1"/>
      <c r="U44" s="1"/>
    </row>
    <row r="45" spans="2:21">
      <c r="B45" t="str">
        <f t="shared" si="0"/>
        <v/>
      </c>
      <c r="C45" s="155">
        <f>IF(D11="","-",+C44+1)</f>
        <v>2039</v>
      </c>
      <c r="D45" s="164">
        <f>IF(F44+SUM(E$17:E44)=D$10,F44,D$10-SUM(E$17:E44))</f>
        <v>229367.67736084733</v>
      </c>
      <c r="E45" s="162">
        <f>IF(+I14&lt;F44,I14,D45)</f>
        <v>15076.56031908646</v>
      </c>
      <c r="F45" s="161">
        <f t="shared" si="8"/>
        <v>214291.11704176088</v>
      </c>
      <c r="G45" s="163">
        <f t="shared" si="9"/>
        <v>41139.524009128821</v>
      </c>
      <c r="H45" s="145">
        <f t="shared" si="10"/>
        <v>41139.524009128821</v>
      </c>
      <c r="I45" s="158">
        <f t="shared" si="7"/>
        <v>0</v>
      </c>
      <c r="J45" s="158"/>
      <c r="K45" s="316"/>
      <c r="L45" s="160">
        <f t="shared" si="2"/>
        <v>0</v>
      </c>
      <c r="M45" s="316"/>
      <c r="N45" s="160">
        <f t="shared" si="4"/>
        <v>0</v>
      </c>
      <c r="O45" s="160">
        <f t="shared" si="5"/>
        <v>0</v>
      </c>
      <c r="P45" s="4"/>
      <c r="R45" s="1"/>
      <c r="S45" s="1"/>
      <c r="T45" s="1"/>
      <c r="U45" s="1"/>
    </row>
    <row r="46" spans="2:21">
      <c r="B46" t="str">
        <f t="shared" si="0"/>
        <v/>
      </c>
      <c r="C46" s="155">
        <f>IF(D11="","-",+C45+1)</f>
        <v>2040</v>
      </c>
      <c r="D46" s="164">
        <f>IF(F45+SUM(E$17:E45)=D$10,F45,D$10-SUM(E$17:E45))</f>
        <v>214291.11704176088</v>
      </c>
      <c r="E46" s="162">
        <f>IF(+I14&lt;F45,I14,D46)</f>
        <v>15076.56031908646</v>
      </c>
      <c r="F46" s="161">
        <f t="shared" si="8"/>
        <v>199214.55672267443</v>
      </c>
      <c r="G46" s="163">
        <f t="shared" si="9"/>
        <v>39368.163454014924</v>
      </c>
      <c r="H46" s="145">
        <f t="shared" si="10"/>
        <v>39368.163454014924</v>
      </c>
      <c r="I46" s="158">
        <f t="shared" si="7"/>
        <v>0</v>
      </c>
      <c r="J46" s="158"/>
      <c r="K46" s="316"/>
      <c r="L46" s="160">
        <f t="shared" si="2"/>
        <v>0</v>
      </c>
      <c r="M46" s="316"/>
      <c r="N46" s="160">
        <f t="shared" si="4"/>
        <v>0</v>
      </c>
      <c r="O46" s="160">
        <f t="shared" si="5"/>
        <v>0</v>
      </c>
      <c r="P46" s="4"/>
      <c r="R46" s="1"/>
      <c r="S46" s="1"/>
      <c r="T46" s="1"/>
      <c r="U46" s="1"/>
    </row>
    <row r="47" spans="2:21">
      <c r="B47" t="str">
        <f t="shared" si="0"/>
        <v/>
      </c>
      <c r="C47" s="155">
        <f>IF(D11="","-",+C46+1)</f>
        <v>2041</v>
      </c>
      <c r="D47" s="164">
        <f>IF(F46+SUM(E$17:E46)=D$10,F46,D$10-SUM(E$17:E46))</f>
        <v>199214.55672267443</v>
      </c>
      <c r="E47" s="162">
        <f>IF(+I14&lt;F46,I14,D47)</f>
        <v>15076.56031908646</v>
      </c>
      <c r="F47" s="161">
        <f t="shared" si="8"/>
        <v>184137.99640358798</v>
      </c>
      <c r="G47" s="163">
        <f t="shared" si="9"/>
        <v>37596.80289890102</v>
      </c>
      <c r="H47" s="145">
        <f t="shared" si="10"/>
        <v>37596.80289890102</v>
      </c>
      <c r="I47" s="158">
        <f t="shared" si="7"/>
        <v>0</v>
      </c>
      <c r="J47" s="158"/>
      <c r="K47" s="316"/>
      <c r="L47" s="160">
        <f t="shared" si="2"/>
        <v>0</v>
      </c>
      <c r="M47" s="316"/>
      <c r="N47" s="160">
        <f t="shared" si="4"/>
        <v>0</v>
      </c>
      <c r="O47" s="160">
        <f t="shared" si="5"/>
        <v>0</v>
      </c>
      <c r="P47" s="4"/>
      <c r="R47" s="1"/>
      <c r="S47" s="1"/>
      <c r="T47" s="1"/>
      <c r="U47" s="1"/>
    </row>
    <row r="48" spans="2:21">
      <c r="B48" t="str">
        <f t="shared" si="0"/>
        <v/>
      </c>
      <c r="C48" s="155">
        <f>IF(D11="","-",+C47+1)</f>
        <v>2042</v>
      </c>
      <c r="D48" s="164">
        <f>IF(F47+SUM(E$17:E47)=D$10,F47,D$10-SUM(E$17:E47))</f>
        <v>184137.99640358798</v>
      </c>
      <c r="E48" s="162">
        <f>IF(+I14&lt;F47,I14,D48)</f>
        <v>15076.56031908646</v>
      </c>
      <c r="F48" s="161">
        <f t="shared" si="8"/>
        <v>169061.43608450153</v>
      </c>
      <c r="G48" s="163">
        <f t="shared" si="9"/>
        <v>35825.44234378713</v>
      </c>
      <c r="H48" s="145">
        <f t="shared" si="10"/>
        <v>35825.44234378713</v>
      </c>
      <c r="I48" s="158">
        <f t="shared" si="7"/>
        <v>0</v>
      </c>
      <c r="J48" s="158"/>
      <c r="K48" s="316"/>
      <c r="L48" s="160">
        <f t="shared" si="2"/>
        <v>0</v>
      </c>
      <c r="M48" s="316"/>
      <c r="N48" s="160">
        <f t="shared" si="4"/>
        <v>0</v>
      </c>
      <c r="O48" s="160">
        <f t="shared" si="5"/>
        <v>0</v>
      </c>
      <c r="P48" s="4"/>
      <c r="R48" s="1"/>
      <c r="S48" s="1"/>
      <c r="T48" s="1"/>
      <c r="U48" s="1"/>
    </row>
    <row r="49" spans="2:21">
      <c r="B49" t="str">
        <f t="shared" si="0"/>
        <v/>
      </c>
      <c r="C49" s="155">
        <f>IF(D11="","-",+C48+1)</f>
        <v>2043</v>
      </c>
      <c r="D49" s="164">
        <f>IF(F48+SUM(E$17:E48)=D$10,F48,D$10-SUM(E$17:E48))</f>
        <v>169061.43608450153</v>
      </c>
      <c r="E49" s="162">
        <f>IF(+I14&lt;F48,I14,D49)</f>
        <v>15076.56031908646</v>
      </c>
      <c r="F49" s="161">
        <f t="shared" si="8"/>
        <v>153984.87576541508</v>
      </c>
      <c r="G49" s="163">
        <f t="shared" si="9"/>
        <v>34054.081788673226</v>
      </c>
      <c r="H49" s="145">
        <f t="shared" si="10"/>
        <v>34054.081788673226</v>
      </c>
      <c r="I49" s="158">
        <f t="shared" si="7"/>
        <v>0</v>
      </c>
      <c r="J49" s="158"/>
      <c r="K49" s="316"/>
      <c r="L49" s="160">
        <f t="shared" si="2"/>
        <v>0</v>
      </c>
      <c r="M49" s="316"/>
      <c r="N49" s="160">
        <f t="shared" si="4"/>
        <v>0</v>
      </c>
      <c r="O49" s="160">
        <f t="shared" si="5"/>
        <v>0</v>
      </c>
      <c r="P49" s="4"/>
      <c r="R49" s="1"/>
      <c r="S49" s="1"/>
      <c r="T49" s="1"/>
      <c r="U49" s="1"/>
    </row>
    <row r="50" spans="2:21">
      <c r="B50" t="str">
        <f t="shared" ref="B50:B73" si="11">IF(D50=F49,"","IU")</f>
        <v/>
      </c>
      <c r="C50" s="155">
        <f>IF(D11="","-",+C49+1)</f>
        <v>2044</v>
      </c>
      <c r="D50" s="164">
        <f>IF(F49+SUM(E$17:E49)=D$10,F49,D$10-SUM(E$17:E49))</f>
        <v>153984.87576541508</v>
      </c>
      <c r="E50" s="162">
        <f>IF(+I14&lt;F49,I14,D50)</f>
        <v>15076.56031908646</v>
      </c>
      <c r="F50" s="161">
        <f t="shared" si="8"/>
        <v>138908.31544632863</v>
      </c>
      <c r="G50" s="163">
        <f t="shared" si="9"/>
        <v>32282.721233559329</v>
      </c>
      <c r="H50" s="145">
        <f t="shared" si="10"/>
        <v>32282.721233559329</v>
      </c>
      <c r="I50" s="158">
        <f t="shared" ref="I50:I73" si="12">H50-G50</f>
        <v>0</v>
      </c>
      <c r="J50" s="158"/>
      <c r="K50" s="316"/>
      <c r="L50" s="160">
        <f t="shared" ref="L50:L73" si="13">IF(K50&lt;&gt;0,+G50-K50,0)</f>
        <v>0</v>
      </c>
      <c r="M50" s="316"/>
      <c r="N50" s="160">
        <f t="shared" ref="N50:N73" si="14">IF(M50&lt;&gt;0,+H50-M50,0)</f>
        <v>0</v>
      </c>
      <c r="O50" s="160">
        <f t="shared" ref="O50:O73" si="15">+N50-L50</f>
        <v>0</v>
      </c>
      <c r="P50" s="4"/>
      <c r="R50" s="1"/>
      <c r="S50" s="1"/>
      <c r="T50" s="1"/>
      <c r="U50" s="1"/>
    </row>
    <row r="51" spans="2:21">
      <c r="B51" t="str">
        <f t="shared" si="11"/>
        <v/>
      </c>
      <c r="C51" s="155">
        <f>IF(D11="","-",+C50+1)</f>
        <v>2045</v>
      </c>
      <c r="D51" s="164">
        <f>IF(F50+SUM(E$17:E50)=D$10,F50,D$10-SUM(E$17:E50))</f>
        <v>138908.31544632863</v>
      </c>
      <c r="E51" s="162">
        <f>IF(+I14&lt;F50,I14,D51)</f>
        <v>15076.56031908646</v>
      </c>
      <c r="F51" s="161">
        <f t="shared" ref="F51:F73" si="16">+D51-E51</f>
        <v>123831.75512724217</v>
      </c>
      <c r="G51" s="163">
        <f t="shared" si="9"/>
        <v>30511.360678445428</v>
      </c>
      <c r="H51" s="145">
        <f t="shared" si="10"/>
        <v>30511.360678445428</v>
      </c>
      <c r="I51" s="158">
        <f t="shared" si="12"/>
        <v>0</v>
      </c>
      <c r="J51" s="158"/>
      <c r="K51" s="316"/>
      <c r="L51" s="160">
        <f t="shared" si="13"/>
        <v>0</v>
      </c>
      <c r="M51" s="316"/>
      <c r="N51" s="160">
        <f t="shared" si="14"/>
        <v>0</v>
      </c>
      <c r="O51" s="160">
        <f t="shared" si="15"/>
        <v>0</v>
      </c>
      <c r="P51" s="4"/>
      <c r="R51" s="1"/>
      <c r="S51" s="1"/>
      <c r="T51" s="1"/>
      <c r="U51" s="1"/>
    </row>
    <row r="52" spans="2:21">
      <c r="B52" t="str">
        <f t="shared" si="11"/>
        <v/>
      </c>
      <c r="C52" s="155">
        <f>IF(D11="","-",+C51+1)</f>
        <v>2046</v>
      </c>
      <c r="D52" s="164">
        <f>IF(F51+SUM(E$17:E51)=D$10,F51,D$10-SUM(E$17:E51))</f>
        <v>123831.75512724217</v>
      </c>
      <c r="E52" s="162">
        <f>IF(+I14&lt;F51,I14,D52)</f>
        <v>15076.56031908646</v>
      </c>
      <c r="F52" s="161">
        <f t="shared" si="16"/>
        <v>108755.19480815571</v>
      </c>
      <c r="G52" s="163">
        <f t="shared" si="9"/>
        <v>28740.000123331527</v>
      </c>
      <c r="H52" s="145">
        <f t="shared" si="10"/>
        <v>28740.000123331527</v>
      </c>
      <c r="I52" s="158">
        <f t="shared" si="12"/>
        <v>0</v>
      </c>
      <c r="J52" s="158"/>
      <c r="K52" s="316"/>
      <c r="L52" s="160">
        <f t="shared" si="13"/>
        <v>0</v>
      </c>
      <c r="M52" s="316"/>
      <c r="N52" s="160">
        <f t="shared" si="14"/>
        <v>0</v>
      </c>
      <c r="O52" s="160">
        <f t="shared" si="15"/>
        <v>0</v>
      </c>
      <c r="P52" s="4"/>
      <c r="R52" s="1"/>
      <c r="S52" s="1"/>
      <c r="T52" s="1"/>
      <c r="U52" s="1"/>
    </row>
    <row r="53" spans="2:21">
      <c r="B53" t="str">
        <f t="shared" si="11"/>
        <v/>
      </c>
      <c r="C53" s="155">
        <f>IF(D11="","-",+C52+1)</f>
        <v>2047</v>
      </c>
      <c r="D53" s="164">
        <f>IF(F52+SUM(E$17:E52)=D$10,F52,D$10-SUM(E$17:E52))</f>
        <v>108755.19480815571</v>
      </c>
      <c r="E53" s="162">
        <f>IF(+I14&lt;F52,I14,D53)</f>
        <v>15076.56031908646</v>
      </c>
      <c r="F53" s="161">
        <f t="shared" si="16"/>
        <v>93678.634489069242</v>
      </c>
      <c r="G53" s="163">
        <f t="shared" si="9"/>
        <v>26968.639568217626</v>
      </c>
      <c r="H53" s="145">
        <f t="shared" si="10"/>
        <v>26968.639568217626</v>
      </c>
      <c r="I53" s="158">
        <f t="shared" si="12"/>
        <v>0</v>
      </c>
      <c r="J53" s="158"/>
      <c r="K53" s="316"/>
      <c r="L53" s="160">
        <f t="shared" si="13"/>
        <v>0</v>
      </c>
      <c r="M53" s="316"/>
      <c r="N53" s="160">
        <f t="shared" si="14"/>
        <v>0</v>
      </c>
      <c r="O53" s="160">
        <f t="shared" si="15"/>
        <v>0</v>
      </c>
      <c r="P53" s="4"/>
      <c r="R53" s="1"/>
      <c r="S53" s="1"/>
      <c r="T53" s="1"/>
      <c r="U53" s="1"/>
    </row>
    <row r="54" spans="2:21">
      <c r="B54" t="str">
        <f t="shared" si="11"/>
        <v/>
      </c>
      <c r="C54" s="155">
        <f>IF(D11="","-",+C53+1)</f>
        <v>2048</v>
      </c>
      <c r="D54" s="164">
        <f>IF(F53+SUM(E$17:E53)=D$10,F53,D$10-SUM(E$17:E53))</f>
        <v>93678.634489069242</v>
      </c>
      <c r="E54" s="162">
        <f>IF(+I14&lt;F53,I14,D54)</f>
        <v>15076.56031908646</v>
      </c>
      <c r="F54" s="161">
        <f t="shared" si="16"/>
        <v>78602.074169982778</v>
      </c>
      <c r="G54" s="163">
        <f t="shared" si="9"/>
        <v>25197.279013103725</v>
      </c>
      <c r="H54" s="145">
        <f t="shared" si="10"/>
        <v>25197.279013103725</v>
      </c>
      <c r="I54" s="158">
        <f t="shared" si="12"/>
        <v>0</v>
      </c>
      <c r="J54" s="158"/>
      <c r="K54" s="316"/>
      <c r="L54" s="160">
        <f t="shared" si="13"/>
        <v>0</v>
      </c>
      <c r="M54" s="316"/>
      <c r="N54" s="160">
        <f t="shared" si="14"/>
        <v>0</v>
      </c>
      <c r="O54" s="160">
        <f t="shared" si="15"/>
        <v>0</v>
      </c>
      <c r="P54" s="4"/>
      <c r="R54" s="1"/>
      <c r="S54" s="1"/>
      <c r="T54" s="1"/>
      <c r="U54" s="1"/>
    </row>
    <row r="55" spans="2:21">
      <c r="B55" t="str">
        <f t="shared" si="11"/>
        <v/>
      </c>
      <c r="C55" s="155">
        <f>IF(D11="","-",+C54+1)</f>
        <v>2049</v>
      </c>
      <c r="D55" s="164">
        <f>IF(F54+SUM(E$17:E54)=D$10,F54,D$10-SUM(E$17:E54))</f>
        <v>78602.074169982778</v>
      </c>
      <c r="E55" s="162">
        <f>IF(+I14&lt;F54,I14,D55)</f>
        <v>15076.56031908646</v>
      </c>
      <c r="F55" s="161">
        <f t="shared" si="16"/>
        <v>63525.513850896314</v>
      </c>
      <c r="G55" s="163">
        <f t="shared" si="9"/>
        <v>23425.918457989825</v>
      </c>
      <c r="H55" s="145">
        <f t="shared" si="10"/>
        <v>23425.918457989825</v>
      </c>
      <c r="I55" s="158">
        <f t="shared" si="12"/>
        <v>0</v>
      </c>
      <c r="J55" s="158"/>
      <c r="K55" s="316"/>
      <c r="L55" s="160">
        <f t="shared" si="13"/>
        <v>0</v>
      </c>
      <c r="M55" s="316"/>
      <c r="N55" s="160">
        <f t="shared" si="14"/>
        <v>0</v>
      </c>
      <c r="O55" s="160">
        <f t="shared" si="15"/>
        <v>0</v>
      </c>
      <c r="P55" s="4"/>
      <c r="R55" s="1"/>
      <c r="S55" s="1"/>
      <c r="T55" s="1"/>
      <c r="U55" s="1"/>
    </row>
    <row r="56" spans="2:21">
      <c r="B56" t="str">
        <f t="shared" si="11"/>
        <v/>
      </c>
      <c r="C56" s="155">
        <f>IF(D11="","-",+C55+1)</f>
        <v>2050</v>
      </c>
      <c r="D56" s="164">
        <f>IF(F55+SUM(E$17:E55)=D$10,F55,D$10-SUM(E$17:E55))</f>
        <v>63525.513850896314</v>
      </c>
      <c r="E56" s="162">
        <f>IF(+I14&lt;F55,I14,D56)</f>
        <v>15076.56031908646</v>
      </c>
      <c r="F56" s="161">
        <f t="shared" si="16"/>
        <v>48448.95353180985</v>
      </c>
      <c r="G56" s="163">
        <f t="shared" si="9"/>
        <v>21654.557902875924</v>
      </c>
      <c r="H56" s="145">
        <f t="shared" si="10"/>
        <v>21654.557902875924</v>
      </c>
      <c r="I56" s="158">
        <f t="shared" si="12"/>
        <v>0</v>
      </c>
      <c r="J56" s="158"/>
      <c r="K56" s="316"/>
      <c r="L56" s="160">
        <f t="shared" si="13"/>
        <v>0</v>
      </c>
      <c r="M56" s="316"/>
      <c r="N56" s="160">
        <f t="shared" si="14"/>
        <v>0</v>
      </c>
      <c r="O56" s="160">
        <f t="shared" si="15"/>
        <v>0</v>
      </c>
      <c r="P56" s="4"/>
      <c r="R56" s="1"/>
      <c r="S56" s="1"/>
      <c r="T56" s="1"/>
      <c r="U56" s="1"/>
    </row>
    <row r="57" spans="2:21">
      <c r="B57" t="str">
        <f t="shared" si="11"/>
        <v/>
      </c>
      <c r="C57" s="155">
        <f>IF(D11="","-",+C56+1)</f>
        <v>2051</v>
      </c>
      <c r="D57" s="164">
        <f>IF(F56+SUM(E$17:E56)=D$10,F56,D$10-SUM(E$17:E56))</f>
        <v>48448.95353180985</v>
      </c>
      <c r="E57" s="162">
        <f>IF(+I14&lt;F56,I14,D57)</f>
        <v>15076.56031908646</v>
      </c>
      <c r="F57" s="161">
        <f t="shared" si="16"/>
        <v>33372.393212723386</v>
      </c>
      <c r="G57" s="163">
        <f t="shared" si="9"/>
        <v>19883.197347762023</v>
      </c>
      <c r="H57" s="145">
        <f t="shared" si="10"/>
        <v>19883.197347762023</v>
      </c>
      <c r="I57" s="158">
        <f t="shared" si="12"/>
        <v>0</v>
      </c>
      <c r="J57" s="158"/>
      <c r="K57" s="316"/>
      <c r="L57" s="160">
        <f t="shared" si="13"/>
        <v>0</v>
      </c>
      <c r="M57" s="316"/>
      <c r="N57" s="160">
        <f t="shared" si="14"/>
        <v>0</v>
      </c>
      <c r="O57" s="160">
        <f t="shared" si="15"/>
        <v>0</v>
      </c>
      <c r="P57" s="4"/>
      <c r="R57" s="1"/>
      <c r="S57" s="1"/>
      <c r="T57" s="1"/>
      <c r="U57" s="1"/>
    </row>
    <row r="58" spans="2:21">
      <c r="B58" t="str">
        <f t="shared" si="11"/>
        <v/>
      </c>
      <c r="C58" s="155">
        <f>IF(D11="","-",+C57+1)</f>
        <v>2052</v>
      </c>
      <c r="D58" s="164">
        <f>IF(F57+SUM(E$17:E57)=D$10,F57,D$10-SUM(E$17:E57))</f>
        <v>33372.393212723386</v>
      </c>
      <c r="E58" s="162">
        <f>IF(+I14&lt;F57,I14,D58)</f>
        <v>15076.56031908646</v>
      </c>
      <c r="F58" s="161">
        <f t="shared" si="16"/>
        <v>18295.832893636925</v>
      </c>
      <c r="G58" s="163">
        <f t="shared" si="9"/>
        <v>18111.836792648122</v>
      </c>
      <c r="H58" s="145">
        <f t="shared" si="10"/>
        <v>18111.836792648122</v>
      </c>
      <c r="I58" s="158">
        <f t="shared" si="12"/>
        <v>0</v>
      </c>
      <c r="J58" s="158"/>
      <c r="K58" s="316"/>
      <c r="L58" s="160">
        <f t="shared" si="13"/>
        <v>0</v>
      </c>
      <c r="M58" s="316"/>
      <c r="N58" s="160">
        <f t="shared" si="14"/>
        <v>0</v>
      </c>
      <c r="O58" s="160">
        <f t="shared" si="15"/>
        <v>0</v>
      </c>
      <c r="P58" s="4"/>
      <c r="R58" s="1"/>
      <c r="S58" s="1"/>
      <c r="T58" s="1"/>
      <c r="U58" s="1"/>
    </row>
    <row r="59" spans="2:21">
      <c r="B59" t="str">
        <f t="shared" si="11"/>
        <v/>
      </c>
      <c r="C59" s="155">
        <f>IF(D11="","-",+C58+1)</f>
        <v>2053</v>
      </c>
      <c r="D59" s="164">
        <f>IF(F58+SUM(E$17:E58)=D$10,F58,D$10-SUM(E$17:E58))</f>
        <v>18295.832893636925</v>
      </c>
      <c r="E59" s="162">
        <f>IF(+I14&lt;F58,I14,D59)</f>
        <v>15076.56031908646</v>
      </c>
      <c r="F59" s="161">
        <f t="shared" si="16"/>
        <v>3219.2725745504649</v>
      </c>
      <c r="G59" s="163">
        <f t="shared" si="9"/>
        <v>16340.476237534223</v>
      </c>
      <c r="H59" s="145">
        <f t="shared" si="10"/>
        <v>16340.476237534223</v>
      </c>
      <c r="I59" s="158">
        <f t="shared" si="12"/>
        <v>0</v>
      </c>
      <c r="J59" s="158"/>
      <c r="K59" s="316"/>
      <c r="L59" s="160">
        <f t="shared" si="13"/>
        <v>0</v>
      </c>
      <c r="M59" s="316"/>
      <c r="N59" s="160">
        <f t="shared" si="14"/>
        <v>0</v>
      </c>
      <c r="O59" s="160">
        <f t="shared" si="15"/>
        <v>0</v>
      </c>
      <c r="P59" s="4"/>
      <c r="R59" s="1"/>
      <c r="S59" s="1"/>
      <c r="T59" s="1"/>
      <c r="U59" s="1"/>
    </row>
    <row r="60" spans="2:21">
      <c r="B60" t="str">
        <f t="shared" si="11"/>
        <v/>
      </c>
      <c r="C60" s="155">
        <f>IF(D11="","-",+C59+1)</f>
        <v>2054</v>
      </c>
      <c r="D60" s="164">
        <f>IF(F59+SUM(E$17:E59)=D$10,F59,D$10-SUM(E$17:E59))</f>
        <v>3219.2725745504649</v>
      </c>
      <c r="E60" s="162">
        <f>IF(+I14&lt;F59,I14,D60)</f>
        <v>3219.2725745504649</v>
      </c>
      <c r="F60" s="161">
        <f t="shared" si="16"/>
        <v>0</v>
      </c>
      <c r="G60" s="163">
        <f t="shared" si="9"/>
        <v>3408.3903949958712</v>
      </c>
      <c r="H60" s="145">
        <f t="shared" si="10"/>
        <v>3408.3903949958712</v>
      </c>
      <c r="I60" s="158">
        <f t="shared" si="12"/>
        <v>0</v>
      </c>
      <c r="J60" s="158"/>
      <c r="K60" s="316"/>
      <c r="L60" s="160">
        <f t="shared" si="13"/>
        <v>0</v>
      </c>
      <c r="M60" s="316"/>
      <c r="N60" s="160">
        <f t="shared" si="14"/>
        <v>0</v>
      </c>
      <c r="O60" s="160">
        <f t="shared" si="15"/>
        <v>0</v>
      </c>
      <c r="P60" s="4"/>
      <c r="R60" s="1"/>
      <c r="S60" s="1"/>
      <c r="T60" s="1"/>
      <c r="U60" s="1"/>
    </row>
    <row r="61" spans="2:21">
      <c r="B61" t="str">
        <f t="shared" si="11"/>
        <v/>
      </c>
      <c r="C61" s="155">
        <f>IF(D11="","-",+C60+1)</f>
        <v>2055</v>
      </c>
      <c r="D61" s="164">
        <f>IF(F60+SUM(E$17:E60)=D$10,F60,D$10-SUM(E$17:E60))</f>
        <v>0</v>
      </c>
      <c r="E61" s="162">
        <f>IF(+I14&lt;F60,I14,D61)</f>
        <v>0</v>
      </c>
      <c r="F61" s="161">
        <f t="shared" si="16"/>
        <v>0</v>
      </c>
      <c r="G61" s="163">
        <f t="shared" si="9"/>
        <v>0</v>
      </c>
      <c r="H61" s="145">
        <f t="shared" si="10"/>
        <v>0</v>
      </c>
      <c r="I61" s="158">
        <f t="shared" si="12"/>
        <v>0</v>
      </c>
      <c r="J61" s="158"/>
      <c r="K61" s="316"/>
      <c r="L61" s="160">
        <f t="shared" si="13"/>
        <v>0</v>
      </c>
      <c r="M61" s="316"/>
      <c r="N61" s="160">
        <f t="shared" si="14"/>
        <v>0</v>
      </c>
      <c r="O61" s="160">
        <f t="shared" si="15"/>
        <v>0</v>
      </c>
      <c r="P61" s="4"/>
      <c r="R61" s="1"/>
      <c r="S61" s="1"/>
      <c r="T61" s="1"/>
      <c r="U61" s="1"/>
    </row>
    <row r="62" spans="2:21">
      <c r="B62" t="str">
        <f t="shared" si="11"/>
        <v/>
      </c>
      <c r="C62" s="155">
        <f>IF(D11="","-",+C61+1)</f>
        <v>2056</v>
      </c>
      <c r="D62" s="164">
        <f>IF(F61+SUM(E$17:E61)=D$10,F61,D$10-SUM(E$17:E61))</f>
        <v>0</v>
      </c>
      <c r="E62" s="162">
        <f>IF(+I14&lt;F61,I14,D62)</f>
        <v>0</v>
      </c>
      <c r="F62" s="161">
        <f t="shared" si="16"/>
        <v>0</v>
      </c>
      <c r="G62" s="165">
        <f t="shared" si="9"/>
        <v>0</v>
      </c>
      <c r="H62" s="145">
        <f t="shared" si="10"/>
        <v>0</v>
      </c>
      <c r="I62" s="158">
        <f t="shared" si="12"/>
        <v>0</v>
      </c>
      <c r="J62" s="158"/>
      <c r="K62" s="316"/>
      <c r="L62" s="160">
        <f t="shared" si="13"/>
        <v>0</v>
      </c>
      <c r="M62" s="316"/>
      <c r="N62" s="160">
        <f t="shared" si="14"/>
        <v>0</v>
      </c>
      <c r="O62" s="160">
        <f t="shared" si="15"/>
        <v>0</v>
      </c>
      <c r="P62" s="4"/>
      <c r="R62" s="1"/>
      <c r="S62" s="1"/>
      <c r="T62" s="1"/>
      <c r="U62" s="1"/>
    </row>
    <row r="63" spans="2:21">
      <c r="B63" t="str">
        <f t="shared" si="11"/>
        <v/>
      </c>
      <c r="C63" s="155">
        <f>IF(D11="","-",+C62+1)</f>
        <v>2057</v>
      </c>
      <c r="D63" s="164">
        <f>IF(F62+SUM(E$17:E62)=D$10,F62,D$10-SUM(E$17:E62))</f>
        <v>0</v>
      </c>
      <c r="E63" s="162">
        <f>IF(+I14&lt;F62,I14,D63)</f>
        <v>0</v>
      </c>
      <c r="F63" s="161">
        <f t="shared" si="16"/>
        <v>0</v>
      </c>
      <c r="G63" s="165">
        <f t="shared" si="9"/>
        <v>0</v>
      </c>
      <c r="H63" s="145">
        <f t="shared" si="10"/>
        <v>0</v>
      </c>
      <c r="I63" s="158">
        <f t="shared" si="12"/>
        <v>0</v>
      </c>
      <c r="J63" s="158"/>
      <c r="K63" s="316"/>
      <c r="L63" s="160">
        <f t="shared" si="13"/>
        <v>0</v>
      </c>
      <c r="M63" s="316"/>
      <c r="N63" s="160">
        <f t="shared" si="14"/>
        <v>0</v>
      </c>
      <c r="O63" s="160">
        <f t="shared" si="15"/>
        <v>0</v>
      </c>
      <c r="P63" s="4"/>
      <c r="R63" s="1"/>
      <c r="S63" s="1"/>
      <c r="T63" s="1"/>
      <c r="U63" s="1"/>
    </row>
    <row r="64" spans="2:21">
      <c r="B64" t="str">
        <f t="shared" si="11"/>
        <v/>
      </c>
      <c r="C64" s="155">
        <f>IF(D11="","-",+C63+1)</f>
        <v>2058</v>
      </c>
      <c r="D64" s="164">
        <f>IF(F63+SUM(E$17:E63)=D$10,F63,D$10-SUM(E$17:E63))</f>
        <v>0</v>
      </c>
      <c r="E64" s="162">
        <f>IF(+I14&lt;F63,I14,D64)</f>
        <v>0</v>
      </c>
      <c r="F64" s="161">
        <f t="shared" si="16"/>
        <v>0</v>
      </c>
      <c r="G64" s="165">
        <f t="shared" si="9"/>
        <v>0</v>
      </c>
      <c r="H64" s="145">
        <f t="shared" si="10"/>
        <v>0</v>
      </c>
      <c r="I64" s="158">
        <f t="shared" si="12"/>
        <v>0</v>
      </c>
      <c r="J64" s="158"/>
      <c r="K64" s="316"/>
      <c r="L64" s="160">
        <f t="shared" si="13"/>
        <v>0</v>
      </c>
      <c r="M64" s="316"/>
      <c r="N64" s="160">
        <f t="shared" si="14"/>
        <v>0</v>
      </c>
      <c r="O64" s="160">
        <f t="shared" si="15"/>
        <v>0</v>
      </c>
      <c r="P64" s="4"/>
      <c r="R64" s="1"/>
      <c r="S64" s="1"/>
      <c r="T64" s="1"/>
      <c r="U64" s="1"/>
    </row>
    <row r="65" spans="2:21">
      <c r="B65" t="str">
        <f t="shared" si="11"/>
        <v/>
      </c>
      <c r="C65" s="155">
        <f>IF(D11="","-",+C64+1)</f>
        <v>2059</v>
      </c>
      <c r="D65" s="164">
        <f>IF(F64+SUM(E$17:E64)=D$10,F64,D$10-SUM(E$17:E64))</f>
        <v>0</v>
      </c>
      <c r="E65" s="162">
        <f>IF(+I14&lt;F64,I14,D65)</f>
        <v>0</v>
      </c>
      <c r="F65" s="161">
        <f t="shared" si="16"/>
        <v>0</v>
      </c>
      <c r="G65" s="165">
        <f t="shared" si="9"/>
        <v>0</v>
      </c>
      <c r="H65" s="145">
        <f t="shared" si="10"/>
        <v>0</v>
      </c>
      <c r="I65" s="158">
        <f t="shared" si="12"/>
        <v>0</v>
      </c>
      <c r="J65" s="158"/>
      <c r="K65" s="316"/>
      <c r="L65" s="160">
        <f t="shared" si="13"/>
        <v>0</v>
      </c>
      <c r="M65" s="316"/>
      <c r="N65" s="160">
        <f t="shared" si="14"/>
        <v>0</v>
      </c>
      <c r="O65" s="160">
        <f t="shared" si="15"/>
        <v>0</v>
      </c>
      <c r="P65" s="4"/>
      <c r="R65" s="1"/>
      <c r="S65" s="1"/>
      <c r="T65" s="1"/>
      <c r="U65" s="1"/>
    </row>
    <row r="66" spans="2:21">
      <c r="B66" t="str">
        <f t="shared" si="11"/>
        <v/>
      </c>
      <c r="C66" s="155">
        <f>IF(D11="","-",+C65+1)</f>
        <v>2060</v>
      </c>
      <c r="D66" s="164">
        <f>IF(F65+SUM(E$17:E65)=D$10,F65,D$10-SUM(E$17:E65))</f>
        <v>0</v>
      </c>
      <c r="E66" s="162">
        <f>IF(+I14&lt;F65,I14,D66)</f>
        <v>0</v>
      </c>
      <c r="F66" s="161">
        <f t="shared" si="16"/>
        <v>0</v>
      </c>
      <c r="G66" s="165">
        <f t="shared" si="9"/>
        <v>0</v>
      </c>
      <c r="H66" s="145">
        <f t="shared" si="10"/>
        <v>0</v>
      </c>
      <c r="I66" s="158">
        <f t="shared" si="12"/>
        <v>0</v>
      </c>
      <c r="J66" s="158"/>
      <c r="K66" s="316"/>
      <c r="L66" s="160">
        <f t="shared" si="13"/>
        <v>0</v>
      </c>
      <c r="M66" s="316"/>
      <c r="N66" s="160">
        <f t="shared" si="14"/>
        <v>0</v>
      </c>
      <c r="O66" s="160">
        <f t="shared" si="15"/>
        <v>0</v>
      </c>
      <c r="P66" s="4"/>
      <c r="R66" s="1"/>
      <c r="S66" s="1"/>
      <c r="T66" s="1"/>
      <c r="U66" s="1"/>
    </row>
    <row r="67" spans="2:21">
      <c r="B67" t="str">
        <f t="shared" si="11"/>
        <v/>
      </c>
      <c r="C67" s="155">
        <f>IF(D11="","-",+C66+1)</f>
        <v>2061</v>
      </c>
      <c r="D67" s="164">
        <f>IF(F66+SUM(E$17:E66)=D$10,F66,D$10-SUM(E$17:E66))</f>
        <v>0</v>
      </c>
      <c r="E67" s="162">
        <f>IF(+I14&lt;F66,I14,D67)</f>
        <v>0</v>
      </c>
      <c r="F67" s="161">
        <f t="shared" si="16"/>
        <v>0</v>
      </c>
      <c r="G67" s="165">
        <f t="shared" si="9"/>
        <v>0</v>
      </c>
      <c r="H67" s="145">
        <f t="shared" si="10"/>
        <v>0</v>
      </c>
      <c r="I67" s="158">
        <f t="shared" si="12"/>
        <v>0</v>
      </c>
      <c r="J67" s="158"/>
      <c r="K67" s="316"/>
      <c r="L67" s="160">
        <f t="shared" si="13"/>
        <v>0</v>
      </c>
      <c r="M67" s="316"/>
      <c r="N67" s="160">
        <f t="shared" si="14"/>
        <v>0</v>
      </c>
      <c r="O67" s="160">
        <f t="shared" si="15"/>
        <v>0</v>
      </c>
      <c r="P67" s="4"/>
      <c r="R67" s="1"/>
      <c r="S67" s="1"/>
      <c r="T67" s="1"/>
      <c r="U67" s="1"/>
    </row>
    <row r="68" spans="2:21">
      <c r="B68" t="str">
        <f t="shared" si="11"/>
        <v/>
      </c>
      <c r="C68" s="155">
        <f>IF(D11="","-",+C67+1)</f>
        <v>2062</v>
      </c>
      <c r="D68" s="164">
        <f>IF(F67+SUM(E$17:E67)=D$10,F67,D$10-SUM(E$17:E67))</f>
        <v>0</v>
      </c>
      <c r="E68" s="162">
        <f>IF(+I14&lt;F67,I14,D68)</f>
        <v>0</v>
      </c>
      <c r="F68" s="161">
        <f t="shared" si="16"/>
        <v>0</v>
      </c>
      <c r="G68" s="165">
        <f t="shared" si="9"/>
        <v>0</v>
      </c>
      <c r="H68" s="145">
        <f t="shared" si="10"/>
        <v>0</v>
      </c>
      <c r="I68" s="158">
        <f t="shared" si="12"/>
        <v>0</v>
      </c>
      <c r="J68" s="158"/>
      <c r="K68" s="316"/>
      <c r="L68" s="160">
        <f t="shared" si="13"/>
        <v>0</v>
      </c>
      <c r="M68" s="316"/>
      <c r="N68" s="160">
        <f t="shared" si="14"/>
        <v>0</v>
      </c>
      <c r="O68" s="160">
        <f t="shared" si="15"/>
        <v>0</v>
      </c>
      <c r="P68" s="4"/>
      <c r="R68" s="1"/>
      <c r="S68" s="1"/>
      <c r="T68" s="1"/>
      <c r="U68" s="1"/>
    </row>
    <row r="69" spans="2:21">
      <c r="B69" t="str">
        <f t="shared" si="11"/>
        <v/>
      </c>
      <c r="C69" s="155">
        <f>IF(D11="","-",+C68+1)</f>
        <v>2063</v>
      </c>
      <c r="D69" s="164">
        <f>IF(F68+SUM(E$17:E68)=D$10,F68,D$10-SUM(E$17:E68))</f>
        <v>0</v>
      </c>
      <c r="E69" s="162">
        <f>IF(+I14&lt;F68,I14,D69)</f>
        <v>0</v>
      </c>
      <c r="F69" s="161">
        <f t="shared" si="16"/>
        <v>0</v>
      </c>
      <c r="G69" s="165">
        <f t="shared" si="9"/>
        <v>0</v>
      </c>
      <c r="H69" s="145">
        <f t="shared" si="10"/>
        <v>0</v>
      </c>
      <c r="I69" s="158">
        <f t="shared" si="12"/>
        <v>0</v>
      </c>
      <c r="J69" s="158"/>
      <c r="K69" s="316"/>
      <c r="L69" s="160">
        <f t="shared" si="13"/>
        <v>0</v>
      </c>
      <c r="M69" s="316"/>
      <c r="N69" s="160">
        <f t="shared" si="14"/>
        <v>0</v>
      </c>
      <c r="O69" s="160">
        <f t="shared" si="15"/>
        <v>0</v>
      </c>
      <c r="P69" s="4"/>
      <c r="R69" s="1"/>
      <c r="S69" s="1"/>
      <c r="T69" s="1"/>
      <c r="U69" s="1"/>
    </row>
    <row r="70" spans="2:21">
      <c r="B70" t="str">
        <f t="shared" si="11"/>
        <v/>
      </c>
      <c r="C70" s="155">
        <f>IF(D11="","-",+C69+1)</f>
        <v>2064</v>
      </c>
      <c r="D70" s="164">
        <f>IF(F69+SUM(E$17:E69)=D$10,F69,D$10-SUM(E$17:E69))</f>
        <v>0</v>
      </c>
      <c r="E70" s="162">
        <f>IF(+I14&lt;F69,I14,D70)</f>
        <v>0</v>
      </c>
      <c r="F70" s="161">
        <f t="shared" si="16"/>
        <v>0</v>
      </c>
      <c r="G70" s="165">
        <f t="shared" si="9"/>
        <v>0</v>
      </c>
      <c r="H70" s="145">
        <f t="shared" si="10"/>
        <v>0</v>
      </c>
      <c r="I70" s="158">
        <f t="shared" si="12"/>
        <v>0</v>
      </c>
      <c r="J70" s="158"/>
      <c r="K70" s="316"/>
      <c r="L70" s="160">
        <f t="shared" si="13"/>
        <v>0</v>
      </c>
      <c r="M70" s="316"/>
      <c r="N70" s="160">
        <f t="shared" si="14"/>
        <v>0</v>
      </c>
      <c r="O70" s="160">
        <f t="shared" si="15"/>
        <v>0</v>
      </c>
      <c r="P70" s="4"/>
      <c r="R70" s="1"/>
      <c r="S70" s="1"/>
      <c r="T70" s="1"/>
      <c r="U70" s="1"/>
    </row>
    <row r="71" spans="2:21">
      <c r="B71" t="str">
        <f t="shared" si="11"/>
        <v/>
      </c>
      <c r="C71" s="155">
        <f>IF(D11="","-",+C70+1)</f>
        <v>2065</v>
      </c>
      <c r="D71" s="164">
        <f>IF(F70+SUM(E$17:E70)=D$10,F70,D$10-SUM(E$17:E70))</f>
        <v>0</v>
      </c>
      <c r="E71" s="162">
        <f>IF(+I14&lt;F70,I14,D71)</f>
        <v>0</v>
      </c>
      <c r="F71" s="161">
        <f t="shared" si="16"/>
        <v>0</v>
      </c>
      <c r="G71" s="165">
        <f t="shared" si="9"/>
        <v>0</v>
      </c>
      <c r="H71" s="145">
        <f t="shared" si="10"/>
        <v>0</v>
      </c>
      <c r="I71" s="158">
        <f t="shared" si="12"/>
        <v>0</v>
      </c>
      <c r="J71" s="158"/>
      <c r="K71" s="316"/>
      <c r="L71" s="160">
        <f t="shared" si="13"/>
        <v>0</v>
      </c>
      <c r="M71" s="316"/>
      <c r="N71" s="160">
        <f t="shared" si="14"/>
        <v>0</v>
      </c>
      <c r="O71" s="160">
        <f t="shared" si="15"/>
        <v>0</v>
      </c>
      <c r="P71" s="4"/>
      <c r="R71" s="1"/>
      <c r="S71" s="1"/>
      <c r="T71" s="1"/>
      <c r="U71" s="1"/>
    </row>
    <row r="72" spans="2:21">
      <c r="B72" t="str">
        <f t="shared" si="11"/>
        <v/>
      </c>
      <c r="C72" s="155">
        <f>IF(D11="","-",+C71+1)</f>
        <v>2066</v>
      </c>
      <c r="D72" s="164">
        <f>IF(F71+SUM(E$17:E71)=D$10,F71,D$10-SUM(E$17:E71))</f>
        <v>0</v>
      </c>
      <c r="E72" s="162">
        <f>IF(+I14&lt;F71,I14,D72)</f>
        <v>0</v>
      </c>
      <c r="F72" s="161">
        <f t="shared" si="16"/>
        <v>0</v>
      </c>
      <c r="G72" s="165">
        <f t="shared" si="9"/>
        <v>0</v>
      </c>
      <c r="H72" s="145">
        <f t="shared" si="10"/>
        <v>0</v>
      </c>
      <c r="I72" s="158">
        <f t="shared" si="12"/>
        <v>0</v>
      </c>
      <c r="J72" s="158"/>
      <c r="K72" s="316"/>
      <c r="L72" s="160">
        <f t="shared" si="13"/>
        <v>0</v>
      </c>
      <c r="M72" s="316"/>
      <c r="N72" s="160">
        <f t="shared" si="14"/>
        <v>0</v>
      </c>
      <c r="O72" s="160">
        <f t="shared" si="15"/>
        <v>0</v>
      </c>
      <c r="P72" s="4"/>
      <c r="R72" s="1"/>
      <c r="S72" s="1"/>
      <c r="T72" s="1"/>
      <c r="U72" s="1"/>
    </row>
    <row r="73" spans="2:21" ht="13.5" thickBot="1">
      <c r="B73" t="str">
        <f t="shared" si="11"/>
        <v/>
      </c>
      <c r="C73" s="166">
        <f>IF(D11="","-",+C72+1)</f>
        <v>2067</v>
      </c>
      <c r="D73" s="349">
        <f>IF(F72+SUM(E$17:E72)=D$10,F72,D$10-SUM(E$17:E72))</f>
        <v>0</v>
      </c>
      <c r="E73" s="168">
        <f>IF(+I14&lt;F72,I14,D73)</f>
        <v>0</v>
      </c>
      <c r="F73" s="167">
        <f t="shared" si="16"/>
        <v>0</v>
      </c>
      <c r="G73" s="169">
        <f t="shared" si="9"/>
        <v>0</v>
      </c>
      <c r="H73" s="127">
        <f t="shared" si="10"/>
        <v>0</v>
      </c>
      <c r="I73" s="170">
        <f t="shared" si="12"/>
        <v>0</v>
      </c>
      <c r="J73" s="158"/>
      <c r="K73" s="317"/>
      <c r="L73" s="171">
        <f t="shared" si="13"/>
        <v>0</v>
      </c>
      <c r="M73" s="317"/>
      <c r="N73" s="171">
        <f t="shared" si="14"/>
        <v>0</v>
      </c>
      <c r="O73" s="171">
        <f t="shared" si="15"/>
        <v>0</v>
      </c>
      <c r="P73" s="4"/>
      <c r="R73" s="1"/>
      <c r="S73" s="1"/>
      <c r="T73" s="1"/>
      <c r="U73" s="1"/>
    </row>
    <row r="74" spans="2:21">
      <c r="C74" s="156" t="s">
        <v>75</v>
      </c>
      <c r="D74" s="112"/>
      <c r="E74" s="112">
        <f>SUM(E17:E73)</f>
        <v>614752.99999999965</v>
      </c>
      <c r="F74" s="112"/>
      <c r="G74" s="112">
        <f>SUM(G17:G73)</f>
        <v>2300127.1560647921</v>
      </c>
      <c r="H74" s="112">
        <f>SUM(H17:H73)</f>
        <v>2300127.1560647921</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1" t="str">
        <f ca="1">P1</f>
        <v>OKT Project 3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78338.095666520749</v>
      </c>
      <c r="N88" s="198">
        <f>IF(J93&lt;D11,0,VLOOKUP(J93,C17:O73,11))</f>
        <v>78338.095666520749</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73280.103356307678</v>
      </c>
      <c r="N89" s="200">
        <f>IF(J93&lt;D11,0,VLOOKUP(J93,C100:P155,7))</f>
        <v>73280.103356307678</v>
      </c>
      <c r="O89" s="201">
        <f>+N89-M89</f>
        <v>0</v>
      </c>
      <c r="P89" s="1"/>
      <c r="Q89" s="1"/>
      <c r="R89" s="1"/>
      <c r="S89" s="1"/>
      <c r="T89" s="1"/>
      <c r="U89" s="1"/>
    </row>
    <row r="90" spans="1:21" ht="13.5" thickBot="1">
      <c r="C90" s="124" t="s">
        <v>82</v>
      </c>
      <c r="D90" s="243" t="str">
        <f>+D7</f>
        <v>Tulsa Power Station Reactor</v>
      </c>
      <c r="E90" s="1"/>
      <c r="F90" s="1"/>
      <c r="G90" s="1"/>
      <c r="H90" s="1"/>
      <c r="I90" s="3"/>
      <c r="J90" s="3"/>
      <c r="K90" s="256"/>
      <c r="L90" s="257" t="s">
        <v>135</v>
      </c>
      <c r="M90" s="203">
        <f>+M89-M88</f>
        <v>-5057.9923102130706</v>
      </c>
      <c r="N90" s="203">
        <f>+N89-N88</f>
        <v>-5057.9923102130706</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TP2009090</v>
      </c>
      <c r="E92" s="206"/>
      <c r="F92" s="206"/>
      <c r="G92" s="206"/>
      <c r="H92" s="206"/>
      <c r="I92" s="206"/>
      <c r="J92" s="206"/>
      <c r="K92" s="207"/>
      <c r="P92" s="134"/>
      <c r="Q92" s="1"/>
      <c r="R92" s="1"/>
      <c r="S92" s="1"/>
      <c r="T92" s="1"/>
      <c r="U92" s="1"/>
    </row>
    <row r="93" spans="1:21">
      <c r="C93" s="139" t="s">
        <v>49</v>
      </c>
      <c r="D93" s="136">
        <f>IF(D11=I10,0,D10)</f>
        <v>614753</v>
      </c>
      <c r="E93" s="23" t="s">
        <v>84</v>
      </c>
      <c r="H93" s="137"/>
      <c r="I93" s="137"/>
      <c r="J93" s="138">
        <f>+'OKT.WS.G.BPU.ATRR.True-up'!M16</f>
        <v>2018</v>
      </c>
      <c r="K93" s="133"/>
      <c r="L93" s="112" t="s">
        <v>85</v>
      </c>
      <c r="P93" s="4"/>
      <c r="Q93" s="1"/>
      <c r="R93" s="1"/>
      <c r="S93" s="1"/>
      <c r="T93" s="1"/>
      <c r="U93" s="1"/>
    </row>
    <row r="94" spans="1:21">
      <c r="C94" s="139" t="s">
        <v>52</v>
      </c>
      <c r="D94" s="218">
        <f>IF(D11=I10,"",D11)</f>
        <v>2011</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IF(D11=I10,"",D12)</f>
        <v>10</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17076.472222222223</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319" t="s">
        <v>177</v>
      </c>
      <c r="M98" s="149" t="s">
        <v>89</v>
      </c>
      <c r="N98" s="319" t="s">
        <v>177</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 t="shared" ref="B100:B131" si="17">IF(D100=F99,"","IU")</f>
        <v>IU</v>
      </c>
      <c r="C100" s="155">
        <f>IF(D94= "","-",D94)</f>
        <v>2011</v>
      </c>
      <c r="D100" s="373">
        <v>0</v>
      </c>
      <c r="E100" s="375">
        <v>1766.3534482758621</v>
      </c>
      <c r="F100" s="377">
        <v>612924.64655172417</v>
      </c>
      <c r="G100" s="378">
        <v>306462.32327586209</v>
      </c>
      <c r="H100" s="378">
        <v>24552.570276961298</v>
      </c>
      <c r="I100" s="378">
        <v>24552.570276961298</v>
      </c>
      <c r="J100" s="160">
        <v>0</v>
      </c>
      <c r="K100" s="160"/>
      <c r="L100" s="380">
        <f t="shared" ref="L100:L105" si="18">H100</f>
        <v>24552.570276961298</v>
      </c>
      <c r="M100" s="352">
        <f t="shared" ref="M100:M131" si="19">IF(L100&lt;&gt;0,+H100-L100,0)</f>
        <v>0</v>
      </c>
      <c r="N100" s="344">
        <f t="shared" ref="N100:N105" si="20">I100</f>
        <v>24552.570276961298</v>
      </c>
      <c r="O100" s="352">
        <f t="shared" ref="O100:O131" si="21">IF(N100&lt;&gt;0,+I100-N100,0)</f>
        <v>0</v>
      </c>
      <c r="P100" s="159">
        <f t="shared" ref="P100:P131" si="22">+O100-M100</f>
        <v>0</v>
      </c>
      <c r="Q100" s="1"/>
      <c r="R100" s="1"/>
      <c r="S100" s="1"/>
      <c r="T100" s="1"/>
      <c r="U100" s="1"/>
    </row>
    <row r="101" spans="1:21">
      <c r="B101" t="str">
        <f t="shared" si="17"/>
        <v>IU</v>
      </c>
      <c r="C101" s="155">
        <f>IF(D94="","-",+C100+1)</f>
        <v>2012</v>
      </c>
      <c r="D101" s="373">
        <v>612986.64655172417</v>
      </c>
      <c r="E101" s="375">
        <v>10599.189655172413</v>
      </c>
      <c r="F101" s="377">
        <v>602387.45689655177</v>
      </c>
      <c r="G101" s="377">
        <v>607687.05172413797</v>
      </c>
      <c r="H101" s="375">
        <v>72187.934734594193</v>
      </c>
      <c r="I101" s="376">
        <v>72187.934734594193</v>
      </c>
      <c r="J101" s="160">
        <v>0</v>
      </c>
      <c r="K101" s="352"/>
      <c r="L101" s="379">
        <f t="shared" si="18"/>
        <v>72187.934734594193</v>
      </c>
      <c r="M101" s="352">
        <f t="shared" ref="M101:M106" si="23">IF(L101&lt;&gt;0,+H101-L101,0)</f>
        <v>0</v>
      </c>
      <c r="N101" s="344">
        <f t="shared" si="20"/>
        <v>72187.934734594193</v>
      </c>
      <c r="O101" s="352">
        <f>IF(N101&lt;&gt;0,+I101-N101,0)</f>
        <v>0</v>
      </c>
      <c r="P101" s="352">
        <f>+O101-M101</f>
        <v>0</v>
      </c>
      <c r="Q101" s="1"/>
      <c r="R101" s="1"/>
      <c r="S101" s="1"/>
      <c r="T101" s="1"/>
      <c r="U101" s="1"/>
    </row>
    <row r="102" spans="1:21">
      <c r="B102" t="str">
        <f t="shared" si="17"/>
        <v/>
      </c>
      <c r="C102" s="155">
        <f>IF(D94="","-",+C101+1)</f>
        <v>2013</v>
      </c>
      <c r="D102" s="373">
        <v>602387.45689655177</v>
      </c>
      <c r="E102" s="375">
        <v>10599.189655172413</v>
      </c>
      <c r="F102" s="377">
        <v>591788.26724137936</v>
      </c>
      <c r="G102" s="377">
        <v>597087.86206896557</v>
      </c>
      <c r="H102" s="375">
        <v>78464.169300722831</v>
      </c>
      <c r="I102" s="376">
        <v>78464.169300722831</v>
      </c>
      <c r="J102" s="160">
        <f t="shared" ref="J102:J131" si="24">+I102-H102</f>
        <v>0</v>
      </c>
      <c r="K102" s="352"/>
      <c r="L102" s="379">
        <f t="shared" si="18"/>
        <v>78464.169300722831</v>
      </c>
      <c r="M102" s="352">
        <f t="shared" si="23"/>
        <v>0</v>
      </c>
      <c r="N102" s="344">
        <f t="shared" si="20"/>
        <v>78464.169300722831</v>
      </c>
      <c r="O102" s="352">
        <f>IF(N102&lt;&gt;0,+I102-N102,0)</f>
        <v>0</v>
      </c>
      <c r="P102" s="352">
        <f>+O102-M102</f>
        <v>0</v>
      </c>
      <c r="Q102" s="1"/>
      <c r="R102" s="1"/>
      <c r="S102" s="1"/>
      <c r="T102" s="1"/>
      <c r="U102" s="1"/>
    </row>
    <row r="103" spans="1:21">
      <c r="B103" t="str">
        <f t="shared" si="17"/>
        <v/>
      </c>
      <c r="C103" s="155">
        <f>IF(D94="","-",+C102+1)</f>
        <v>2014</v>
      </c>
      <c r="D103" s="373">
        <v>591788.26724137936</v>
      </c>
      <c r="E103" s="375">
        <v>10599.189655172413</v>
      </c>
      <c r="F103" s="377">
        <v>581189.07758620696</v>
      </c>
      <c r="G103" s="377">
        <v>586488.67241379316</v>
      </c>
      <c r="H103" s="375">
        <v>73672.191823391273</v>
      </c>
      <c r="I103" s="376">
        <v>73672.191823391273</v>
      </c>
      <c r="J103" s="160">
        <v>0</v>
      </c>
      <c r="K103" s="160"/>
      <c r="L103" s="379">
        <f t="shared" si="18"/>
        <v>73672.191823391273</v>
      </c>
      <c r="M103" s="352">
        <f t="shared" si="23"/>
        <v>0</v>
      </c>
      <c r="N103" s="344">
        <f t="shared" si="20"/>
        <v>73672.191823391273</v>
      </c>
      <c r="O103" s="352">
        <f>IF(N103&lt;&gt;0,+I103-N103,0)</f>
        <v>0</v>
      </c>
      <c r="P103" s="352">
        <f>+O103-M103</f>
        <v>0</v>
      </c>
      <c r="Q103" s="1"/>
      <c r="R103" s="1"/>
      <c r="S103" s="1"/>
      <c r="T103" s="1"/>
      <c r="U103" s="1"/>
    </row>
    <row r="104" spans="1:21">
      <c r="B104" t="str">
        <f t="shared" si="17"/>
        <v/>
      </c>
      <c r="C104" s="155">
        <f>IF(D94="","-",+C103+1)</f>
        <v>2015</v>
      </c>
      <c r="D104" s="373">
        <v>581189.07758620696</v>
      </c>
      <c r="E104" s="375">
        <v>12807.354166666666</v>
      </c>
      <c r="F104" s="377">
        <v>568381.72341954033</v>
      </c>
      <c r="G104" s="377">
        <v>574785.40050287358</v>
      </c>
      <c r="H104" s="375">
        <v>76797.884368158106</v>
      </c>
      <c r="I104" s="376">
        <v>76797.884368158106</v>
      </c>
      <c r="J104" s="160">
        <f t="shared" si="24"/>
        <v>0</v>
      </c>
      <c r="K104" s="160"/>
      <c r="L104" s="379">
        <f t="shared" si="18"/>
        <v>76797.884368158106</v>
      </c>
      <c r="M104" s="352">
        <f t="shared" si="23"/>
        <v>0</v>
      </c>
      <c r="N104" s="344">
        <f t="shared" si="20"/>
        <v>76797.884368158106</v>
      </c>
      <c r="O104" s="352">
        <f t="shared" si="21"/>
        <v>0</v>
      </c>
      <c r="P104" s="352">
        <f t="shared" si="22"/>
        <v>0</v>
      </c>
      <c r="Q104" s="1"/>
      <c r="R104" s="1"/>
      <c r="S104" s="1"/>
      <c r="T104" s="1"/>
      <c r="U104" s="1"/>
    </row>
    <row r="105" spans="1:21">
      <c r="B105" t="str">
        <f t="shared" si="17"/>
        <v/>
      </c>
      <c r="C105" s="155">
        <f>IF(D94="","-",+C104+1)</f>
        <v>2016</v>
      </c>
      <c r="D105" s="373">
        <v>568381.72341954033</v>
      </c>
      <c r="E105" s="375">
        <v>12053.980392156862</v>
      </c>
      <c r="F105" s="377">
        <v>556327.74302738346</v>
      </c>
      <c r="G105" s="377">
        <v>562354.7332234619</v>
      </c>
      <c r="H105" s="375">
        <v>72996.058830960712</v>
      </c>
      <c r="I105" s="376">
        <v>72996.058830960712</v>
      </c>
      <c r="J105" s="160">
        <f t="shared" si="24"/>
        <v>0</v>
      </c>
      <c r="K105" s="160"/>
      <c r="L105" s="379">
        <f t="shared" si="18"/>
        <v>72996.058830960712</v>
      </c>
      <c r="M105" s="352">
        <f t="shared" si="23"/>
        <v>0</v>
      </c>
      <c r="N105" s="344">
        <f t="shared" si="20"/>
        <v>72996.058830960712</v>
      </c>
      <c r="O105" s="352">
        <f>IF(N105&lt;&gt;0,+I105-N105,0)</f>
        <v>0</v>
      </c>
      <c r="P105" s="352">
        <f>+O105-M105</f>
        <v>0</v>
      </c>
      <c r="Q105" s="1"/>
      <c r="R105" s="1"/>
      <c r="S105" s="1"/>
      <c r="T105" s="1"/>
      <c r="U105" s="1"/>
    </row>
    <row r="106" spans="1:21">
      <c r="B106" t="str">
        <f t="shared" si="17"/>
        <v/>
      </c>
      <c r="C106" s="155">
        <f>IF(D94="","-",+C105+1)</f>
        <v>2017</v>
      </c>
      <c r="D106" s="373">
        <v>556327.74302738346</v>
      </c>
      <c r="E106" s="375">
        <v>15368.825000000001</v>
      </c>
      <c r="F106" s="377">
        <v>540958.91802738351</v>
      </c>
      <c r="G106" s="377">
        <v>548643.33052738348</v>
      </c>
      <c r="H106" s="375">
        <v>79744.364331325967</v>
      </c>
      <c r="I106" s="376">
        <v>79744.364331325967</v>
      </c>
      <c r="J106" s="160">
        <f t="shared" si="24"/>
        <v>0</v>
      </c>
      <c r="K106" s="160"/>
      <c r="L106" s="379">
        <f>H106</f>
        <v>79744.364331325967</v>
      </c>
      <c r="M106" s="352">
        <f t="shared" si="23"/>
        <v>0</v>
      </c>
      <c r="N106" s="344">
        <f>I106</f>
        <v>79744.364331325967</v>
      </c>
      <c r="O106" s="352">
        <f>IF(N106&lt;&gt;0,+I106-N106,0)</f>
        <v>0</v>
      </c>
      <c r="P106" s="352">
        <f>+O106-M106</f>
        <v>0</v>
      </c>
      <c r="Q106" s="1"/>
      <c r="R106" s="1"/>
      <c r="S106" s="1"/>
      <c r="T106" s="1"/>
      <c r="U106" s="1"/>
    </row>
    <row r="107" spans="1:21">
      <c r="B107" t="str">
        <f t="shared" si="17"/>
        <v/>
      </c>
      <c r="C107" s="155">
        <f>IF(D94="","-",+C106+1)</f>
        <v>2018</v>
      </c>
      <c r="D107" s="156">
        <f>IF(F106+SUM(E$100:E106)=D$93,F106,D$93-SUM(E$100:E106))</f>
        <v>540958.91802738351</v>
      </c>
      <c r="E107" s="162">
        <f>IF(+J97&lt;F106,J97,D107)</f>
        <v>17076.472222222223</v>
      </c>
      <c r="F107" s="161">
        <f t="shared" ref="F107:F132" si="25">+D107-E107</f>
        <v>523882.44580516126</v>
      </c>
      <c r="G107" s="161">
        <f t="shared" ref="G107:G131" si="26">+(F107+D107)/2</f>
        <v>532420.68191627238</v>
      </c>
      <c r="H107" s="165">
        <f>+J$95*G107+E107</f>
        <v>73280.103356307678</v>
      </c>
      <c r="I107" s="299">
        <f t="shared" ref="I107:I131" si="27">+J$96*G107+E107</f>
        <v>73280.103356307678</v>
      </c>
      <c r="J107" s="160">
        <f t="shared" si="24"/>
        <v>0</v>
      </c>
      <c r="K107" s="160"/>
      <c r="L107" s="316"/>
      <c r="M107" s="160">
        <f t="shared" si="19"/>
        <v>0</v>
      </c>
      <c r="N107" s="316"/>
      <c r="O107" s="160">
        <f t="shared" si="21"/>
        <v>0</v>
      </c>
      <c r="P107" s="160">
        <f t="shared" si="22"/>
        <v>0</v>
      </c>
      <c r="Q107" s="1"/>
      <c r="R107" s="1"/>
      <c r="S107" s="1"/>
      <c r="T107" s="1"/>
      <c r="U107" s="1"/>
    </row>
    <row r="108" spans="1:21">
      <c r="B108" t="str">
        <f t="shared" si="17"/>
        <v/>
      </c>
      <c r="C108" s="155">
        <f>IF(D94="","-",+C107+1)</f>
        <v>2019</v>
      </c>
      <c r="D108" s="156">
        <f>IF(F107+SUM(E$100:E107)=D$93,F107,D$93-SUM(E$100:E107))</f>
        <v>523882.44580516126</v>
      </c>
      <c r="E108" s="162">
        <f>IF(+J97&lt;F107,J97,D108)</f>
        <v>17076.472222222223</v>
      </c>
      <c r="F108" s="161">
        <f t="shared" si="25"/>
        <v>506805.97358293901</v>
      </c>
      <c r="G108" s="161">
        <f t="shared" si="26"/>
        <v>515344.20969405014</v>
      </c>
      <c r="H108" s="165">
        <f t="shared" ref="H108:H131" si="28">+J$95*G108+E108</f>
        <v>71477.469126557437</v>
      </c>
      <c r="I108" s="299">
        <f t="shared" si="27"/>
        <v>71477.469126557437</v>
      </c>
      <c r="J108" s="160">
        <f t="shared" si="24"/>
        <v>0</v>
      </c>
      <c r="K108" s="160"/>
      <c r="L108" s="316"/>
      <c r="M108" s="160">
        <f t="shared" si="19"/>
        <v>0</v>
      </c>
      <c r="N108" s="316"/>
      <c r="O108" s="160">
        <f t="shared" si="21"/>
        <v>0</v>
      </c>
      <c r="P108" s="160">
        <f t="shared" si="22"/>
        <v>0</v>
      </c>
      <c r="Q108" s="1"/>
      <c r="R108" s="1"/>
      <c r="S108" s="1"/>
      <c r="T108" s="1"/>
      <c r="U108" s="1"/>
    </row>
    <row r="109" spans="1:21">
      <c r="B109" t="str">
        <f t="shared" si="17"/>
        <v/>
      </c>
      <c r="C109" s="155">
        <f>IF(D94="","-",+C108+1)</f>
        <v>2020</v>
      </c>
      <c r="D109" s="156">
        <f>IF(F108+SUM(E$100:E108)=D$93,F108,D$93-SUM(E$100:E108))</f>
        <v>506805.97358293901</v>
      </c>
      <c r="E109" s="162">
        <f>IF(+J97&lt;F108,J97,D109)</f>
        <v>17076.472222222223</v>
      </c>
      <c r="F109" s="161">
        <f t="shared" si="25"/>
        <v>489729.50136071676</v>
      </c>
      <c r="G109" s="161">
        <f t="shared" si="26"/>
        <v>498267.73747182789</v>
      </c>
      <c r="H109" s="165">
        <f t="shared" si="28"/>
        <v>69674.834896807195</v>
      </c>
      <c r="I109" s="299">
        <f t="shared" si="27"/>
        <v>69674.834896807195</v>
      </c>
      <c r="J109" s="160">
        <f t="shared" si="24"/>
        <v>0</v>
      </c>
      <c r="K109" s="160"/>
      <c r="L109" s="316"/>
      <c r="M109" s="160">
        <f t="shared" si="19"/>
        <v>0</v>
      </c>
      <c r="N109" s="316"/>
      <c r="O109" s="160">
        <f t="shared" si="21"/>
        <v>0</v>
      </c>
      <c r="P109" s="160">
        <f t="shared" si="22"/>
        <v>0</v>
      </c>
      <c r="Q109" s="1"/>
      <c r="R109" s="1"/>
      <c r="S109" s="1"/>
      <c r="T109" s="1"/>
      <c r="U109" s="1"/>
    </row>
    <row r="110" spans="1:21">
      <c r="B110" t="str">
        <f t="shared" si="17"/>
        <v/>
      </c>
      <c r="C110" s="155">
        <f>IF(D94="","-",+C109+1)</f>
        <v>2021</v>
      </c>
      <c r="D110" s="156">
        <f>IF(F109+SUM(E$100:E109)=D$93,F109,D$93-SUM(E$100:E109))</f>
        <v>489729.50136071676</v>
      </c>
      <c r="E110" s="162">
        <f>IF(+J97&lt;F109,J97,D110)</f>
        <v>17076.472222222223</v>
      </c>
      <c r="F110" s="161">
        <f t="shared" si="25"/>
        <v>472653.02913849452</v>
      </c>
      <c r="G110" s="161">
        <f t="shared" si="26"/>
        <v>481191.26524960564</v>
      </c>
      <c r="H110" s="165">
        <f t="shared" si="28"/>
        <v>67872.200667056968</v>
      </c>
      <c r="I110" s="299">
        <f t="shared" si="27"/>
        <v>67872.200667056968</v>
      </c>
      <c r="J110" s="160">
        <f t="shared" si="24"/>
        <v>0</v>
      </c>
      <c r="K110" s="160"/>
      <c r="L110" s="316"/>
      <c r="M110" s="160">
        <f t="shared" si="19"/>
        <v>0</v>
      </c>
      <c r="N110" s="316"/>
      <c r="O110" s="160">
        <f t="shared" si="21"/>
        <v>0</v>
      </c>
      <c r="P110" s="160">
        <f t="shared" si="22"/>
        <v>0</v>
      </c>
      <c r="Q110" s="1"/>
      <c r="R110" s="1"/>
      <c r="S110" s="1"/>
      <c r="T110" s="1"/>
      <c r="U110" s="1"/>
    </row>
    <row r="111" spans="1:21">
      <c r="B111" t="str">
        <f t="shared" si="17"/>
        <v/>
      </c>
      <c r="C111" s="155">
        <f>IF(D94="","-",+C110+1)</f>
        <v>2022</v>
      </c>
      <c r="D111" s="156">
        <f>IF(F110+SUM(E$100:E110)=D$93,F110,D$93-SUM(E$100:E110))</f>
        <v>472653.02913849452</v>
      </c>
      <c r="E111" s="162">
        <f>IF(+J97&lt;F110,J97,D111)</f>
        <v>17076.472222222223</v>
      </c>
      <c r="F111" s="161">
        <f t="shared" si="25"/>
        <v>455576.55691627227</v>
      </c>
      <c r="G111" s="161">
        <f t="shared" si="26"/>
        <v>464114.79302738339</v>
      </c>
      <c r="H111" s="165">
        <f t="shared" si="28"/>
        <v>66069.566437306727</v>
      </c>
      <c r="I111" s="299">
        <f t="shared" si="27"/>
        <v>66069.566437306727</v>
      </c>
      <c r="J111" s="160">
        <f t="shared" si="24"/>
        <v>0</v>
      </c>
      <c r="K111" s="160"/>
      <c r="L111" s="316"/>
      <c r="M111" s="160">
        <f t="shared" si="19"/>
        <v>0</v>
      </c>
      <c r="N111" s="316"/>
      <c r="O111" s="160">
        <f t="shared" si="21"/>
        <v>0</v>
      </c>
      <c r="P111" s="160">
        <f t="shared" si="22"/>
        <v>0</v>
      </c>
      <c r="Q111" s="1"/>
      <c r="R111" s="1"/>
      <c r="S111" s="1"/>
      <c r="T111" s="1"/>
      <c r="U111" s="1"/>
    </row>
    <row r="112" spans="1:21">
      <c r="B112" t="str">
        <f t="shared" si="17"/>
        <v/>
      </c>
      <c r="C112" s="155">
        <f>IF(D94="","-",+C111+1)</f>
        <v>2023</v>
      </c>
      <c r="D112" s="156">
        <f>IF(F111+SUM(E$100:E111)=D$93,F111,D$93-SUM(E$100:E111))</f>
        <v>455576.55691627227</v>
      </c>
      <c r="E112" s="162">
        <f>IF(+J97&lt;F111,J97,D112)</f>
        <v>17076.472222222223</v>
      </c>
      <c r="F112" s="161">
        <f t="shared" si="25"/>
        <v>438500.08469405002</v>
      </c>
      <c r="G112" s="161">
        <f t="shared" si="26"/>
        <v>447038.32080516114</v>
      </c>
      <c r="H112" s="165">
        <f t="shared" si="28"/>
        <v>64266.932207556485</v>
      </c>
      <c r="I112" s="299">
        <f t="shared" si="27"/>
        <v>64266.932207556485</v>
      </c>
      <c r="J112" s="160">
        <f t="shared" si="24"/>
        <v>0</v>
      </c>
      <c r="K112" s="160"/>
      <c r="L112" s="316"/>
      <c r="M112" s="160">
        <f t="shared" si="19"/>
        <v>0</v>
      </c>
      <c r="N112" s="316"/>
      <c r="O112" s="160">
        <f t="shared" si="21"/>
        <v>0</v>
      </c>
      <c r="P112" s="160">
        <f t="shared" si="22"/>
        <v>0</v>
      </c>
      <c r="Q112" s="1"/>
      <c r="R112" s="1"/>
      <c r="S112" s="1"/>
      <c r="T112" s="1"/>
      <c r="U112" s="1"/>
    </row>
    <row r="113" spans="2:21">
      <c r="B113" t="str">
        <f t="shared" si="17"/>
        <v/>
      </c>
      <c r="C113" s="155">
        <f>IF(D94="","-",+C112+1)</f>
        <v>2024</v>
      </c>
      <c r="D113" s="156">
        <f>IF(F112+SUM(E$100:E112)=D$93,F112,D$93-SUM(E$100:E112))</f>
        <v>438500.08469405002</v>
      </c>
      <c r="E113" s="162">
        <f>IF(+J97&lt;F112,J97,D113)</f>
        <v>17076.472222222223</v>
      </c>
      <c r="F113" s="161">
        <f t="shared" si="25"/>
        <v>421423.61247182777</v>
      </c>
      <c r="G113" s="161">
        <f t="shared" si="26"/>
        <v>429961.8485829389</v>
      </c>
      <c r="H113" s="165">
        <f t="shared" si="28"/>
        <v>62464.297977806244</v>
      </c>
      <c r="I113" s="299">
        <f t="shared" si="27"/>
        <v>62464.297977806244</v>
      </c>
      <c r="J113" s="160">
        <f t="shared" si="24"/>
        <v>0</v>
      </c>
      <c r="K113" s="160"/>
      <c r="L113" s="316"/>
      <c r="M113" s="160">
        <f t="shared" si="19"/>
        <v>0</v>
      </c>
      <c r="N113" s="316"/>
      <c r="O113" s="160">
        <f t="shared" si="21"/>
        <v>0</v>
      </c>
      <c r="P113" s="160">
        <f t="shared" si="22"/>
        <v>0</v>
      </c>
      <c r="Q113" s="1"/>
      <c r="R113" s="1"/>
      <c r="S113" s="1"/>
      <c r="T113" s="1"/>
      <c r="U113" s="1"/>
    </row>
    <row r="114" spans="2:21">
      <c r="B114" t="str">
        <f t="shared" si="17"/>
        <v/>
      </c>
      <c r="C114" s="155">
        <f>IF(D94="","-",+C113+1)</f>
        <v>2025</v>
      </c>
      <c r="D114" s="156">
        <f>IF(F113+SUM(E$100:E113)=D$93,F113,D$93-SUM(E$100:E113))</f>
        <v>421423.61247182777</v>
      </c>
      <c r="E114" s="162">
        <f>IF(+J97&lt;F113,J97,D114)</f>
        <v>17076.472222222223</v>
      </c>
      <c r="F114" s="161">
        <f t="shared" si="25"/>
        <v>404347.14024960552</v>
      </c>
      <c r="G114" s="161">
        <f t="shared" si="26"/>
        <v>412885.37636071665</v>
      </c>
      <c r="H114" s="165">
        <f t="shared" si="28"/>
        <v>60661.663748056017</v>
      </c>
      <c r="I114" s="299">
        <f t="shared" si="27"/>
        <v>60661.663748056017</v>
      </c>
      <c r="J114" s="160">
        <f t="shared" si="24"/>
        <v>0</v>
      </c>
      <c r="K114" s="160"/>
      <c r="L114" s="316"/>
      <c r="M114" s="160">
        <f t="shared" si="19"/>
        <v>0</v>
      </c>
      <c r="N114" s="316"/>
      <c r="O114" s="160">
        <f t="shared" si="21"/>
        <v>0</v>
      </c>
      <c r="P114" s="160">
        <f t="shared" si="22"/>
        <v>0</v>
      </c>
      <c r="Q114" s="1"/>
      <c r="R114" s="1"/>
      <c r="S114" s="1"/>
      <c r="T114" s="1"/>
      <c r="U114" s="1"/>
    </row>
    <row r="115" spans="2:21">
      <c r="B115" t="str">
        <f t="shared" si="17"/>
        <v/>
      </c>
      <c r="C115" s="155">
        <f>IF(D94="","-",+C114+1)</f>
        <v>2026</v>
      </c>
      <c r="D115" s="156">
        <f>IF(F114+SUM(E$100:E114)=D$93,F114,D$93-SUM(E$100:E114))</f>
        <v>404347.14024960552</v>
      </c>
      <c r="E115" s="162">
        <f>IF(+J97&lt;F114,J97,D115)</f>
        <v>17076.472222222223</v>
      </c>
      <c r="F115" s="161">
        <f t="shared" si="25"/>
        <v>387270.66802738328</v>
      </c>
      <c r="G115" s="161">
        <f t="shared" si="26"/>
        <v>395808.9041384944</v>
      </c>
      <c r="H115" s="165">
        <f t="shared" si="28"/>
        <v>58859.029518305775</v>
      </c>
      <c r="I115" s="299">
        <f t="shared" si="27"/>
        <v>58859.029518305775</v>
      </c>
      <c r="J115" s="160">
        <f t="shared" si="24"/>
        <v>0</v>
      </c>
      <c r="K115" s="160"/>
      <c r="L115" s="316"/>
      <c r="M115" s="160">
        <f t="shared" si="19"/>
        <v>0</v>
      </c>
      <c r="N115" s="316"/>
      <c r="O115" s="160">
        <f t="shared" si="21"/>
        <v>0</v>
      </c>
      <c r="P115" s="160">
        <f t="shared" si="22"/>
        <v>0</v>
      </c>
      <c r="Q115" s="1"/>
      <c r="R115" s="1"/>
      <c r="S115" s="1"/>
      <c r="T115" s="1"/>
      <c r="U115" s="1"/>
    </row>
    <row r="116" spans="2:21">
      <c r="B116" t="str">
        <f t="shared" si="17"/>
        <v/>
      </c>
      <c r="C116" s="155">
        <f>IF(D94="","-",+C115+1)</f>
        <v>2027</v>
      </c>
      <c r="D116" s="156">
        <f>IF(F115+SUM(E$100:E115)=D$93,F115,D$93-SUM(E$100:E115))</f>
        <v>387270.66802738328</v>
      </c>
      <c r="E116" s="162">
        <f>IF(+J97&lt;F115,J97,D116)</f>
        <v>17076.472222222223</v>
      </c>
      <c r="F116" s="161">
        <f t="shared" si="25"/>
        <v>370194.19580516103</v>
      </c>
      <c r="G116" s="161">
        <f t="shared" si="26"/>
        <v>378732.43191627215</v>
      </c>
      <c r="H116" s="165">
        <f t="shared" si="28"/>
        <v>57056.395288555534</v>
      </c>
      <c r="I116" s="299">
        <f t="shared" si="27"/>
        <v>57056.395288555534</v>
      </c>
      <c r="J116" s="160">
        <f t="shared" si="24"/>
        <v>0</v>
      </c>
      <c r="K116" s="160"/>
      <c r="L116" s="316"/>
      <c r="M116" s="160">
        <f t="shared" si="19"/>
        <v>0</v>
      </c>
      <c r="N116" s="316"/>
      <c r="O116" s="160">
        <f t="shared" si="21"/>
        <v>0</v>
      </c>
      <c r="P116" s="160">
        <f t="shared" si="22"/>
        <v>0</v>
      </c>
      <c r="Q116" s="1"/>
      <c r="R116" s="1"/>
      <c r="S116" s="1"/>
      <c r="T116" s="1"/>
      <c r="U116" s="1"/>
    </row>
    <row r="117" spans="2:21">
      <c r="B117" t="str">
        <f t="shared" si="17"/>
        <v/>
      </c>
      <c r="C117" s="155">
        <f>IF(D94="","-",+C116+1)</f>
        <v>2028</v>
      </c>
      <c r="D117" s="156">
        <f>IF(F116+SUM(E$100:E116)=D$93,F116,D$93-SUM(E$100:E116))</f>
        <v>370194.19580516103</v>
      </c>
      <c r="E117" s="162">
        <f>IF(+J97&lt;F116,J97,D117)</f>
        <v>17076.472222222223</v>
      </c>
      <c r="F117" s="161">
        <f t="shared" si="25"/>
        <v>353117.72358293878</v>
      </c>
      <c r="G117" s="161">
        <f t="shared" si="26"/>
        <v>361655.9596940499</v>
      </c>
      <c r="H117" s="165">
        <f t="shared" si="28"/>
        <v>55253.761058805307</v>
      </c>
      <c r="I117" s="299">
        <f t="shared" si="27"/>
        <v>55253.761058805307</v>
      </c>
      <c r="J117" s="160">
        <f t="shared" si="24"/>
        <v>0</v>
      </c>
      <c r="K117" s="160"/>
      <c r="L117" s="316"/>
      <c r="M117" s="160">
        <f t="shared" si="19"/>
        <v>0</v>
      </c>
      <c r="N117" s="316"/>
      <c r="O117" s="160">
        <f t="shared" si="21"/>
        <v>0</v>
      </c>
      <c r="P117" s="160">
        <f t="shared" si="22"/>
        <v>0</v>
      </c>
      <c r="Q117" s="1"/>
      <c r="R117" s="1"/>
      <c r="S117" s="1"/>
      <c r="T117" s="1"/>
      <c r="U117" s="1"/>
    </row>
    <row r="118" spans="2:21">
      <c r="B118" t="str">
        <f t="shared" si="17"/>
        <v/>
      </c>
      <c r="C118" s="155">
        <f>IF(D94="","-",+C117+1)</f>
        <v>2029</v>
      </c>
      <c r="D118" s="156">
        <f>IF(F117+SUM(E$100:E117)=D$93,F117,D$93-SUM(E$100:E117))</f>
        <v>353117.72358293878</v>
      </c>
      <c r="E118" s="162">
        <f>IF(+J97&lt;F117,J97,D118)</f>
        <v>17076.472222222223</v>
      </c>
      <c r="F118" s="161">
        <f t="shared" si="25"/>
        <v>336041.25136071653</v>
      </c>
      <c r="G118" s="161">
        <f t="shared" si="26"/>
        <v>344579.48747182766</v>
      </c>
      <c r="H118" s="165">
        <f t="shared" si="28"/>
        <v>53451.126829055065</v>
      </c>
      <c r="I118" s="299">
        <f t="shared" si="27"/>
        <v>53451.126829055065</v>
      </c>
      <c r="J118" s="160">
        <f t="shared" si="24"/>
        <v>0</v>
      </c>
      <c r="K118" s="160"/>
      <c r="L118" s="316"/>
      <c r="M118" s="160">
        <f t="shared" si="19"/>
        <v>0</v>
      </c>
      <c r="N118" s="316"/>
      <c r="O118" s="160">
        <f t="shared" si="21"/>
        <v>0</v>
      </c>
      <c r="P118" s="160">
        <f t="shared" si="22"/>
        <v>0</v>
      </c>
      <c r="Q118" s="1"/>
      <c r="R118" s="1"/>
      <c r="S118" s="1"/>
      <c r="T118" s="1"/>
      <c r="U118" s="1"/>
    </row>
    <row r="119" spans="2:21">
      <c r="B119" t="str">
        <f t="shared" si="17"/>
        <v/>
      </c>
      <c r="C119" s="155">
        <f>IF(D94="","-",+C118+1)</f>
        <v>2030</v>
      </c>
      <c r="D119" s="156">
        <f>IF(F118+SUM(E$100:E118)=D$93,F118,D$93-SUM(E$100:E118))</f>
        <v>336041.25136071653</v>
      </c>
      <c r="E119" s="162">
        <f>IF(+J97&lt;F118,J97,D119)</f>
        <v>17076.472222222223</v>
      </c>
      <c r="F119" s="161">
        <f t="shared" si="25"/>
        <v>318964.77913849428</v>
      </c>
      <c r="G119" s="161">
        <f t="shared" si="26"/>
        <v>327503.01524960541</v>
      </c>
      <c r="H119" s="165">
        <f t="shared" si="28"/>
        <v>51648.492599304824</v>
      </c>
      <c r="I119" s="299">
        <f t="shared" si="27"/>
        <v>51648.492599304824</v>
      </c>
      <c r="J119" s="160">
        <f t="shared" si="24"/>
        <v>0</v>
      </c>
      <c r="K119" s="160"/>
      <c r="L119" s="316"/>
      <c r="M119" s="160">
        <f t="shared" si="19"/>
        <v>0</v>
      </c>
      <c r="N119" s="316"/>
      <c r="O119" s="160">
        <f t="shared" si="21"/>
        <v>0</v>
      </c>
      <c r="P119" s="160">
        <f t="shared" si="22"/>
        <v>0</v>
      </c>
      <c r="Q119" s="1"/>
      <c r="R119" s="1"/>
      <c r="S119" s="1"/>
      <c r="T119" s="1"/>
      <c r="U119" s="1"/>
    </row>
    <row r="120" spans="2:21">
      <c r="B120" t="str">
        <f t="shared" si="17"/>
        <v/>
      </c>
      <c r="C120" s="155">
        <f>IF(D94="","-",+C119+1)</f>
        <v>2031</v>
      </c>
      <c r="D120" s="156">
        <f>IF(F119+SUM(E$100:E119)=D$93,F119,D$93-SUM(E$100:E119))</f>
        <v>318964.77913849428</v>
      </c>
      <c r="E120" s="162">
        <f>IF(+J97&lt;F119,J97,D120)</f>
        <v>17076.472222222223</v>
      </c>
      <c r="F120" s="161">
        <f t="shared" si="25"/>
        <v>301888.30691627203</v>
      </c>
      <c r="G120" s="161">
        <f t="shared" si="26"/>
        <v>310426.54302738316</v>
      </c>
      <c r="H120" s="165">
        <f t="shared" si="28"/>
        <v>49845.858369554597</v>
      </c>
      <c r="I120" s="299">
        <f t="shared" si="27"/>
        <v>49845.858369554597</v>
      </c>
      <c r="J120" s="160">
        <f t="shared" si="24"/>
        <v>0</v>
      </c>
      <c r="K120" s="160"/>
      <c r="L120" s="316"/>
      <c r="M120" s="160">
        <f t="shared" si="19"/>
        <v>0</v>
      </c>
      <c r="N120" s="316"/>
      <c r="O120" s="160">
        <f t="shared" si="21"/>
        <v>0</v>
      </c>
      <c r="P120" s="160">
        <f t="shared" si="22"/>
        <v>0</v>
      </c>
      <c r="Q120" s="1"/>
      <c r="R120" s="1"/>
      <c r="S120" s="1"/>
      <c r="T120" s="1"/>
      <c r="U120" s="1"/>
    </row>
    <row r="121" spans="2:21">
      <c r="B121" t="str">
        <f t="shared" si="17"/>
        <v/>
      </c>
      <c r="C121" s="155">
        <f>IF(D94="","-",+C120+1)</f>
        <v>2032</v>
      </c>
      <c r="D121" s="156">
        <f>IF(F120+SUM(E$100:E120)=D$93,F120,D$93-SUM(E$100:E120))</f>
        <v>301888.30691627203</v>
      </c>
      <c r="E121" s="162">
        <f>IF(+J97&lt;F120,J97,D121)</f>
        <v>17076.472222222223</v>
      </c>
      <c r="F121" s="161">
        <f t="shared" si="25"/>
        <v>284811.83469404979</v>
      </c>
      <c r="G121" s="161">
        <f t="shared" si="26"/>
        <v>293350.07080516091</v>
      </c>
      <c r="H121" s="165">
        <f t="shared" si="28"/>
        <v>48043.224139804355</v>
      </c>
      <c r="I121" s="299">
        <f t="shared" si="27"/>
        <v>48043.224139804355</v>
      </c>
      <c r="J121" s="160">
        <f t="shared" si="24"/>
        <v>0</v>
      </c>
      <c r="K121" s="160"/>
      <c r="L121" s="316"/>
      <c r="M121" s="160">
        <f t="shared" si="19"/>
        <v>0</v>
      </c>
      <c r="N121" s="316"/>
      <c r="O121" s="160">
        <f t="shared" si="21"/>
        <v>0</v>
      </c>
      <c r="P121" s="160">
        <f t="shared" si="22"/>
        <v>0</v>
      </c>
      <c r="Q121" s="1"/>
      <c r="R121" s="1"/>
      <c r="S121" s="1"/>
      <c r="T121" s="1"/>
      <c r="U121" s="1"/>
    </row>
    <row r="122" spans="2:21">
      <c r="B122" t="str">
        <f t="shared" si="17"/>
        <v/>
      </c>
      <c r="C122" s="155">
        <f>IF(D94="","-",+C121+1)</f>
        <v>2033</v>
      </c>
      <c r="D122" s="156">
        <f>IF(F121+SUM(E$100:E121)=D$93,F121,D$93-SUM(E$100:E121))</f>
        <v>284811.83469404979</v>
      </c>
      <c r="E122" s="162">
        <f>IF(+J97&lt;F121,J97,D122)</f>
        <v>17076.472222222223</v>
      </c>
      <c r="F122" s="161">
        <f t="shared" si="25"/>
        <v>267735.36247182754</v>
      </c>
      <c r="G122" s="161">
        <f t="shared" si="26"/>
        <v>276273.59858293866</v>
      </c>
      <c r="H122" s="165">
        <f t="shared" si="28"/>
        <v>46240.589910054114</v>
      </c>
      <c r="I122" s="299">
        <f t="shared" si="27"/>
        <v>46240.589910054114</v>
      </c>
      <c r="J122" s="160">
        <f t="shared" si="24"/>
        <v>0</v>
      </c>
      <c r="K122" s="160"/>
      <c r="L122" s="316"/>
      <c r="M122" s="160">
        <f t="shared" si="19"/>
        <v>0</v>
      </c>
      <c r="N122" s="316"/>
      <c r="O122" s="160">
        <f t="shared" si="21"/>
        <v>0</v>
      </c>
      <c r="P122" s="160">
        <f t="shared" si="22"/>
        <v>0</v>
      </c>
      <c r="Q122" s="1"/>
      <c r="R122" s="1"/>
      <c r="S122" s="1"/>
      <c r="T122" s="1"/>
      <c r="U122" s="1"/>
    </row>
    <row r="123" spans="2:21">
      <c r="B123" t="str">
        <f t="shared" si="17"/>
        <v/>
      </c>
      <c r="C123" s="155">
        <f>IF(D94="","-",+C122+1)</f>
        <v>2034</v>
      </c>
      <c r="D123" s="156">
        <f>IF(F122+SUM(E$100:E122)=D$93,F122,D$93-SUM(E$100:E122))</f>
        <v>267735.36247182754</v>
      </c>
      <c r="E123" s="162">
        <f>IF(+J97&lt;F122,J97,D123)</f>
        <v>17076.472222222223</v>
      </c>
      <c r="F123" s="161">
        <f t="shared" si="25"/>
        <v>250658.89024960532</v>
      </c>
      <c r="G123" s="161">
        <f t="shared" si="26"/>
        <v>259197.12636071641</v>
      </c>
      <c r="H123" s="165">
        <f t="shared" si="28"/>
        <v>44437.955680303879</v>
      </c>
      <c r="I123" s="299">
        <f t="shared" si="27"/>
        <v>44437.955680303879</v>
      </c>
      <c r="J123" s="160">
        <f t="shared" si="24"/>
        <v>0</v>
      </c>
      <c r="K123" s="160"/>
      <c r="L123" s="316"/>
      <c r="M123" s="160">
        <f t="shared" si="19"/>
        <v>0</v>
      </c>
      <c r="N123" s="316"/>
      <c r="O123" s="160">
        <f t="shared" si="21"/>
        <v>0</v>
      </c>
      <c r="P123" s="160">
        <f t="shared" si="22"/>
        <v>0</v>
      </c>
      <c r="Q123" s="1"/>
      <c r="R123" s="1"/>
      <c r="S123" s="1"/>
      <c r="T123" s="1"/>
      <c r="U123" s="1"/>
    </row>
    <row r="124" spans="2:21">
      <c r="B124" t="str">
        <f t="shared" si="17"/>
        <v/>
      </c>
      <c r="C124" s="155">
        <f>IF(D94="","-",+C123+1)</f>
        <v>2035</v>
      </c>
      <c r="D124" s="156">
        <f>IF(F123+SUM(E$100:E123)=D$93,F123,D$93-SUM(E$100:E123))</f>
        <v>250658.89024960532</v>
      </c>
      <c r="E124" s="162">
        <f>IF(+J97&lt;F123,J97,D124)</f>
        <v>17076.472222222223</v>
      </c>
      <c r="F124" s="161">
        <f t="shared" si="25"/>
        <v>233582.4180273831</v>
      </c>
      <c r="G124" s="161">
        <f t="shared" si="26"/>
        <v>242120.65413849422</v>
      </c>
      <c r="H124" s="165">
        <f t="shared" si="28"/>
        <v>42635.321450553645</v>
      </c>
      <c r="I124" s="299">
        <f t="shared" si="27"/>
        <v>42635.321450553645</v>
      </c>
      <c r="J124" s="160">
        <f t="shared" si="24"/>
        <v>0</v>
      </c>
      <c r="K124" s="160"/>
      <c r="L124" s="316"/>
      <c r="M124" s="160">
        <f t="shared" si="19"/>
        <v>0</v>
      </c>
      <c r="N124" s="316"/>
      <c r="O124" s="160">
        <f t="shared" si="21"/>
        <v>0</v>
      </c>
      <c r="P124" s="160">
        <f t="shared" si="22"/>
        <v>0</v>
      </c>
      <c r="Q124" s="1"/>
      <c r="R124" s="1"/>
      <c r="S124" s="1"/>
      <c r="T124" s="1"/>
      <c r="U124" s="1"/>
    </row>
    <row r="125" spans="2:21">
      <c r="B125" t="str">
        <f t="shared" si="17"/>
        <v/>
      </c>
      <c r="C125" s="155">
        <f>IF(D94="","-",+C124+1)</f>
        <v>2036</v>
      </c>
      <c r="D125" s="156">
        <f>IF(F124+SUM(E$100:E124)=D$93,F124,D$93-SUM(E$100:E124))</f>
        <v>233582.4180273831</v>
      </c>
      <c r="E125" s="162">
        <f>IF(+J97&lt;F124,J97,D125)</f>
        <v>17076.472222222223</v>
      </c>
      <c r="F125" s="161">
        <f t="shared" si="25"/>
        <v>216505.94580516088</v>
      </c>
      <c r="G125" s="161">
        <f t="shared" si="26"/>
        <v>225044.18191627198</v>
      </c>
      <c r="H125" s="165">
        <f t="shared" si="28"/>
        <v>40832.687220803411</v>
      </c>
      <c r="I125" s="299">
        <f t="shared" si="27"/>
        <v>40832.687220803411</v>
      </c>
      <c r="J125" s="160">
        <f t="shared" si="24"/>
        <v>0</v>
      </c>
      <c r="K125" s="160"/>
      <c r="L125" s="316"/>
      <c r="M125" s="160">
        <f t="shared" si="19"/>
        <v>0</v>
      </c>
      <c r="N125" s="316"/>
      <c r="O125" s="160">
        <f t="shared" si="21"/>
        <v>0</v>
      </c>
      <c r="P125" s="160">
        <f t="shared" si="22"/>
        <v>0</v>
      </c>
      <c r="Q125" s="1"/>
      <c r="R125" s="1"/>
      <c r="S125" s="1"/>
      <c r="T125" s="1"/>
      <c r="U125" s="1"/>
    </row>
    <row r="126" spans="2:21">
      <c r="B126" t="str">
        <f t="shared" si="17"/>
        <v/>
      </c>
      <c r="C126" s="155">
        <f>IF(D94="","-",+C125+1)</f>
        <v>2037</v>
      </c>
      <c r="D126" s="156">
        <f>IF(F125+SUM(E$100:E125)=D$93,F125,D$93-SUM(E$100:E125))</f>
        <v>216505.94580516088</v>
      </c>
      <c r="E126" s="162">
        <f>IF(+J97&lt;F125,J97,D126)</f>
        <v>17076.472222222223</v>
      </c>
      <c r="F126" s="161">
        <f t="shared" si="25"/>
        <v>199429.47358293866</v>
      </c>
      <c r="G126" s="161">
        <f t="shared" si="26"/>
        <v>207967.70969404979</v>
      </c>
      <c r="H126" s="165">
        <f t="shared" si="28"/>
        <v>39030.052991053177</v>
      </c>
      <c r="I126" s="299">
        <f t="shared" si="27"/>
        <v>39030.052991053177</v>
      </c>
      <c r="J126" s="160">
        <f t="shared" si="24"/>
        <v>0</v>
      </c>
      <c r="K126" s="160"/>
      <c r="L126" s="316"/>
      <c r="M126" s="160">
        <f t="shared" si="19"/>
        <v>0</v>
      </c>
      <c r="N126" s="316"/>
      <c r="O126" s="160">
        <f t="shared" si="21"/>
        <v>0</v>
      </c>
      <c r="P126" s="160">
        <f t="shared" si="22"/>
        <v>0</v>
      </c>
      <c r="Q126" s="1"/>
      <c r="R126" s="1"/>
      <c r="S126" s="1"/>
      <c r="T126" s="1"/>
      <c r="U126" s="1"/>
    </row>
    <row r="127" spans="2:21">
      <c r="B127" t="str">
        <f t="shared" si="17"/>
        <v/>
      </c>
      <c r="C127" s="155">
        <f>IF(D94="","-",+C126+1)</f>
        <v>2038</v>
      </c>
      <c r="D127" s="156">
        <f>IF(F126+SUM(E$100:E126)=D$93,F126,D$93-SUM(E$100:E126))</f>
        <v>199429.47358293866</v>
      </c>
      <c r="E127" s="162">
        <f>IF(+J97&lt;F126,J97,D127)</f>
        <v>17076.472222222223</v>
      </c>
      <c r="F127" s="161">
        <f t="shared" si="25"/>
        <v>182353.00136071644</v>
      </c>
      <c r="G127" s="161">
        <f t="shared" si="26"/>
        <v>190891.23747182754</v>
      </c>
      <c r="H127" s="165">
        <f t="shared" si="28"/>
        <v>37227.418761302943</v>
      </c>
      <c r="I127" s="299">
        <f t="shared" si="27"/>
        <v>37227.418761302943</v>
      </c>
      <c r="J127" s="160">
        <f t="shared" si="24"/>
        <v>0</v>
      </c>
      <c r="K127" s="160"/>
      <c r="L127" s="316"/>
      <c r="M127" s="160">
        <f t="shared" si="19"/>
        <v>0</v>
      </c>
      <c r="N127" s="316"/>
      <c r="O127" s="160">
        <f t="shared" si="21"/>
        <v>0</v>
      </c>
      <c r="P127" s="160">
        <f t="shared" si="22"/>
        <v>0</v>
      </c>
      <c r="Q127" s="1"/>
      <c r="R127" s="1"/>
      <c r="S127" s="1"/>
      <c r="T127" s="1"/>
      <c r="U127" s="1"/>
    </row>
    <row r="128" spans="2:21">
      <c r="B128" t="str">
        <f t="shared" si="17"/>
        <v/>
      </c>
      <c r="C128" s="155">
        <f>IF(D94="","-",+C127+1)</f>
        <v>2039</v>
      </c>
      <c r="D128" s="156">
        <f>IF(F127+SUM(E$100:E127)=D$93,F127,D$93-SUM(E$100:E127))</f>
        <v>182353.00136071644</v>
      </c>
      <c r="E128" s="162">
        <f>IF(+J97&lt;F127,J97,D128)</f>
        <v>17076.472222222223</v>
      </c>
      <c r="F128" s="161">
        <f t="shared" si="25"/>
        <v>165276.52913849422</v>
      </c>
      <c r="G128" s="161">
        <f t="shared" si="26"/>
        <v>173814.76524960535</v>
      </c>
      <c r="H128" s="165">
        <f t="shared" si="28"/>
        <v>35424.784531552708</v>
      </c>
      <c r="I128" s="299">
        <f t="shared" si="27"/>
        <v>35424.784531552708</v>
      </c>
      <c r="J128" s="160">
        <f t="shared" si="24"/>
        <v>0</v>
      </c>
      <c r="K128" s="160"/>
      <c r="L128" s="316"/>
      <c r="M128" s="160">
        <f t="shared" si="19"/>
        <v>0</v>
      </c>
      <c r="N128" s="316"/>
      <c r="O128" s="160">
        <f t="shared" si="21"/>
        <v>0</v>
      </c>
      <c r="P128" s="160">
        <f t="shared" si="22"/>
        <v>0</v>
      </c>
      <c r="Q128" s="1"/>
      <c r="R128" s="1"/>
      <c r="S128" s="1"/>
      <c r="T128" s="1"/>
      <c r="U128" s="1"/>
    </row>
    <row r="129" spans="2:21">
      <c r="B129" t="str">
        <f t="shared" si="17"/>
        <v/>
      </c>
      <c r="C129" s="155">
        <f>IF(D94="","-",+C128+1)</f>
        <v>2040</v>
      </c>
      <c r="D129" s="156">
        <f>IF(F128+SUM(E$100:E128)=D$93,F128,D$93-SUM(E$100:E128))</f>
        <v>165276.52913849422</v>
      </c>
      <c r="E129" s="162">
        <f>IF(+J97&lt;F128,J97,D129)</f>
        <v>17076.472222222223</v>
      </c>
      <c r="F129" s="161">
        <f t="shared" si="25"/>
        <v>148200.05691627201</v>
      </c>
      <c r="G129" s="161">
        <f t="shared" si="26"/>
        <v>156738.2930273831</v>
      </c>
      <c r="H129" s="165">
        <f t="shared" si="28"/>
        <v>33622.150301802474</v>
      </c>
      <c r="I129" s="299">
        <f t="shared" si="27"/>
        <v>33622.150301802474</v>
      </c>
      <c r="J129" s="160">
        <f t="shared" si="24"/>
        <v>0</v>
      </c>
      <c r="K129" s="160"/>
      <c r="L129" s="316"/>
      <c r="M129" s="160">
        <f t="shared" si="19"/>
        <v>0</v>
      </c>
      <c r="N129" s="316"/>
      <c r="O129" s="160">
        <f t="shared" si="21"/>
        <v>0</v>
      </c>
      <c r="P129" s="160">
        <f t="shared" si="22"/>
        <v>0</v>
      </c>
      <c r="Q129" s="1"/>
      <c r="R129" s="1"/>
      <c r="S129" s="1"/>
      <c r="T129" s="1"/>
      <c r="U129" s="1"/>
    </row>
    <row r="130" spans="2:21">
      <c r="B130" t="str">
        <f t="shared" si="17"/>
        <v/>
      </c>
      <c r="C130" s="155">
        <f>IF(D94="","-",+C129+1)</f>
        <v>2041</v>
      </c>
      <c r="D130" s="156">
        <f>IF(F129+SUM(E$100:E129)=D$93,F129,D$93-SUM(E$100:E129))</f>
        <v>148200.05691627201</v>
      </c>
      <c r="E130" s="162">
        <f>IF(+J97&lt;F129,J97,D130)</f>
        <v>17076.472222222223</v>
      </c>
      <c r="F130" s="161">
        <f t="shared" si="25"/>
        <v>131123.58469404979</v>
      </c>
      <c r="G130" s="161">
        <f t="shared" si="26"/>
        <v>139661.82080516091</v>
      </c>
      <c r="H130" s="165">
        <f t="shared" si="28"/>
        <v>31819.51607205224</v>
      </c>
      <c r="I130" s="299">
        <f t="shared" si="27"/>
        <v>31819.51607205224</v>
      </c>
      <c r="J130" s="160">
        <f t="shared" si="24"/>
        <v>0</v>
      </c>
      <c r="K130" s="160"/>
      <c r="L130" s="316"/>
      <c r="M130" s="160">
        <f t="shared" si="19"/>
        <v>0</v>
      </c>
      <c r="N130" s="316"/>
      <c r="O130" s="160">
        <f t="shared" si="21"/>
        <v>0</v>
      </c>
      <c r="P130" s="160">
        <f t="shared" si="22"/>
        <v>0</v>
      </c>
      <c r="Q130" s="1"/>
      <c r="R130" s="1"/>
      <c r="S130" s="1"/>
      <c r="T130" s="1"/>
      <c r="U130" s="1"/>
    </row>
    <row r="131" spans="2:21">
      <c r="B131" t="str">
        <f t="shared" si="17"/>
        <v/>
      </c>
      <c r="C131" s="155">
        <f>IF(D94="","-",+C130+1)</f>
        <v>2042</v>
      </c>
      <c r="D131" s="156">
        <f>IF(F130+SUM(E$100:E130)=D$93,F130,D$93-SUM(E$100:E130))</f>
        <v>131123.58469404979</v>
      </c>
      <c r="E131" s="162">
        <f>IF(+J97&lt;F130,J97,D131)</f>
        <v>17076.472222222223</v>
      </c>
      <c r="F131" s="161">
        <f t="shared" si="25"/>
        <v>114047.11247182757</v>
      </c>
      <c r="G131" s="161">
        <f t="shared" si="26"/>
        <v>122585.34858293868</v>
      </c>
      <c r="H131" s="165">
        <f t="shared" si="28"/>
        <v>30016.881842302006</v>
      </c>
      <c r="I131" s="299">
        <f t="shared" si="27"/>
        <v>30016.881842302006</v>
      </c>
      <c r="J131" s="160">
        <f t="shared" si="24"/>
        <v>0</v>
      </c>
      <c r="K131" s="160"/>
      <c r="L131" s="316"/>
      <c r="M131" s="160">
        <f t="shared" si="19"/>
        <v>0</v>
      </c>
      <c r="N131" s="316"/>
      <c r="O131" s="160">
        <f t="shared" si="21"/>
        <v>0</v>
      </c>
      <c r="P131" s="160">
        <f t="shared" si="22"/>
        <v>0</v>
      </c>
      <c r="Q131" s="1"/>
      <c r="R131" s="1"/>
      <c r="S131" s="1"/>
      <c r="T131" s="1"/>
      <c r="U131" s="1"/>
    </row>
    <row r="132" spans="2:21">
      <c r="B132" t="str">
        <f t="shared" ref="B132:B155" si="29">IF(D132=F131,"","IU")</f>
        <v/>
      </c>
      <c r="C132" s="155">
        <f>IF(D94="","-",+C131+1)</f>
        <v>2043</v>
      </c>
      <c r="D132" s="156">
        <f>IF(F131+SUM(E$100:E131)=D$93,F131,D$93-SUM(E$100:E131))</f>
        <v>114047.11247182757</v>
      </c>
      <c r="E132" s="162">
        <f>IF(+J97&lt;F131,J97,D132)</f>
        <v>17076.472222222223</v>
      </c>
      <c r="F132" s="161">
        <f t="shared" si="25"/>
        <v>96970.640249605349</v>
      </c>
      <c r="G132" s="161">
        <f t="shared" ref="G132:G155" si="30">+(F132+D132)/2</f>
        <v>105508.87636071646</v>
      </c>
      <c r="H132" s="165">
        <f t="shared" ref="H132:H155" si="31">+J$95*G132+E132</f>
        <v>28214.247612551771</v>
      </c>
      <c r="I132" s="299">
        <f t="shared" ref="I132:I155" si="32">+J$96*G132+E132</f>
        <v>28214.247612551771</v>
      </c>
      <c r="J132" s="160">
        <f t="shared" ref="J132:J155" si="33">+I132-H132</f>
        <v>0</v>
      </c>
      <c r="K132" s="160"/>
      <c r="L132" s="316"/>
      <c r="M132" s="160">
        <f t="shared" ref="M132:M155" si="34">IF(L132&lt;&gt;0,+H132-L132,0)</f>
        <v>0</v>
      </c>
      <c r="N132" s="316"/>
      <c r="O132" s="160">
        <f t="shared" ref="O132:O155" si="35">IF(N132&lt;&gt;0,+I132-N132,0)</f>
        <v>0</v>
      </c>
      <c r="P132" s="160">
        <f t="shared" ref="P132:P155" si="36">+O132-M132</f>
        <v>0</v>
      </c>
      <c r="Q132" s="1"/>
      <c r="R132" s="1"/>
      <c r="S132" s="1"/>
      <c r="T132" s="1"/>
      <c r="U132" s="1"/>
    </row>
    <row r="133" spans="2:21">
      <c r="B133" t="str">
        <f t="shared" si="29"/>
        <v/>
      </c>
      <c r="C133" s="155">
        <f>IF(D94="","-",+C132+1)</f>
        <v>2044</v>
      </c>
      <c r="D133" s="156">
        <f>IF(F132+SUM(E$100:E132)=D$93,F132,D$93-SUM(E$100:E132))</f>
        <v>96970.640249605349</v>
      </c>
      <c r="E133" s="162">
        <f>IF(+J97&lt;F132,J97,D133)</f>
        <v>17076.472222222223</v>
      </c>
      <c r="F133" s="161">
        <f t="shared" ref="F133:F155" si="37">+D133-E133</f>
        <v>79894.16802738313</v>
      </c>
      <c r="G133" s="161">
        <f t="shared" si="30"/>
        <v>88432.404138494239</v>
      </c>
      <c r="H133" s="165">
        <f t="shared" si="31"/>
        <v>26411.613382801537</v>
      </c>
      <c r="I133" s="299">
        <f t="shared" si="32"/>
        <v>26411.613382801537</v>
      </c>
      <c r="J133" s="160">
        <f t="shared" si="33"/>
        <v>0</v>
      </c>
      <c r="K133" s="160"/>
      <c r="L133" s="316"/>
      <c r="M133" s="160">
        <f t="shared" si="34"/>
        <v>0</v>
      </c>
      <c r="N133" s="316"/>
      <c r="O133" s="160">
        <f t="shared" si="35"/>
        <v>0</v>
      </c>
      <c r="P133" s="160">
        <f t="shared" si="36"/>
        <v>0</v>
      </c>
      <c r="Q133" s="1"/>
      <c r="R133" s="1"/>
      <c r="S133" s="1"/>
      <c r="T133" s="1"/>
      <c r="U133" s="1"/>
    </row>
    <row r="134" spans="2:21">
      <c r="B134" t="str">
        <f t="shared" si="29"/>
        <v/>
      </c>
      <c r="C134" s="155">
        <f>IF(D94="","-",+C133+1)</f>
        <v>2045</v>
      </c>
      <c r="D134" s="156">
        <f>IF(F133+SUM(E$100:E133)=D$93,F133,D$93-SUM(E$100:E133))</f>
        <v>79894.16802738313</v>
      </c>
      <c r="E134" s="162">
        <f>IF(+J97&lt;F133,J97,D134)</f>
        <v>17076.472222222223</v>
      </c>
      <c r="F134" s="161">
        <f t="shared" si="37"/>
        <v>62817.695805160911</v>
      </c>
      <c r="G134" s="161">
        <f t="shared" si="30"/>
        <v>71355.93191627202</v>
      </c>
      <c r="H134" s="165">
        <f t="shared" si="31"/>
        <v>24608.979153051303</v>
      </c>
      <c r="I134" s="299">
        <f t="shared" si="32"/>
        <v>24608.979153051303</v>
      </c>
      <c r="J134" s="160">
        <f t="shared" si="33"/>
        <v>0</v>
      </c>
      <c r="K134" s="160"/>
      <c r="L134" s="316"/>
      <c r="M134" s="160">
        <f t="shared" si="34"/>
        <v>0</v>
      </c>
      <c r="N134" s="316"/>
      <c r="O134" s="160">
        <f t="shared" si="35"/>
        <v>0</v>
      </c>
      <c r="P134" s="160">
        <f t="shared" si="36"/>
        <v>0</v>
      </c>
      <c r="Q134" s="1"/>
      <c r="R134" s="1"/>
      <c r="S134" s="1"/>
      <c r="T134" s="1"/>
      <c r="U134" s="1"/>
    </row>
    <row r="135" spans="2:21">
      <c r="B135" t="str">
        <f t="shared" si="29"/>
        <v/>
      </c>
      <c r="C135" s="155">
        <f>IF(D94="","-",+C134+1)</f>
        <v>2046</v>
      </c>
      <c r="D135" s="156">
        <f>IF(F134+SUM(E$100:E134)=D$93,F134,D$93-SUM(E$100:E134))</f>
        <v>62817.695805160911</v>
      </c>
      <c r="E135" s="162">
        <f>IF(+J97&lt;F134,J97,D135)</f>
        <v>17076.472222222223</v>
      </c>
      <c r="F135" s="161">
        <f t="shared" si="37"/>
        <v>45741.223582938692</v>
      </c>
      <c r="G135" s="161">
        <f t="shared" si="30"/>
        <v>54279.459694049801</v>
      </c>
      <c r="H135" s="165">
        <f t="shared" si="31"/>
        <v>22806.344923301069</v>
      </c>
      <c r="I135" s="299">
        <f t="shared" si="32"/>
        <v>22806.344923301069</v>
      </c>
      <c r="J135" s="160">
        <f t="shared" si="33"/>
        <v>0</v>
      </c>
      <c r="K135" s="160"/>
      <c r="L135" s="316"/>
      <c r="M135" s="160">
        <f t="shared" si="34"/>
        <v>0</v>
      </c>
      <c r="N135" s="316"/>
      <c r="O135" s="160">
        <f t="shared" si="35"/>
        <v>0</v>
      </c>
      <c r="P135" s="160">
        <f t="shared" si="36"/>
        <v>0</v>
      </c>
      <c r="Q135" s="1"/>
      <c r="R135" s="1"/>
      <c r="S135" s="1"/>
      <c r="T135" s="1"/>
      <c r="U135" s="1"/>
    </row>
    <row r="136" spans="2:21">
      <c r="B136" t="str">
        <f t="shared" si="29"/>
        <v/>
      </c>
      <c r="C136" s="155">
        <f>IF(D94="","-",+C135+1)</f>
        <v>2047</v>
      </c>
      <c r="D136" s="156">
        <f>IF(F135+SUM(E$100:E135)=D$93,F135,D$93-SUM(E$100:E135))</f>
        <v>45741.223582938692</v>
      </c>
      <c r="E136" s="162">
        <f>IF(+J97&lt;F135,J97,D136)</f>
        <v>17076.472222222223</v>
      </c>
      <c r="F136" s="161">
        <f t="shared" si="37"/>
        <v>28664.751360716469</v>
      </c>
      <c r="G136" s="161">
        <f t="shared" si="30"/>
        <v>37202.987471827582</v>
      </c>
      <c r="H136" s="165">
        <f t="shared" si="31"/>
        <v>21003.710693550835</v>
      </c>
      <c r="I136" s="299">
        <f t="shared" si="32"/>
        <v>21003.710693550835</v>
      </c>
      <c r="J136" s="160">
        <f t="shared" si="33"/>
        <v>0</v>
      </c>
      <c r="K136" s="160"/>
      <c r="L136" s="316"/>
      <c r="M136" s="160">
        <f t="shared" si="34"/>
        <v>0</v>
      </c>
      <c r="N136" s="316"/>
      <c r="O136" s="160">
        <f t="shared" si="35"/>
        <v>0</v>
      </c>
      <c r="P136" s="160">
        <f t="shared" si="36"/>
        <v>0</v>
      </c>
      <c r="Q136" s="1"/>
      <c r="R136" s="1"/>
      <c r="S136" s="1"/>
      <c r="T136" s="1"/>
      <c r="U136" s="1"/>
    </row>
    <row r="137" spans="2:21">
      <c r="B137" t="str">
        <f t="shared" si="29"/>
        <v/>
      </c>
      <c r="C137" s="155">
        <f>IF(D94="","-",+C136+1)</f>
        <v>2048</v>
      </c>
      <c r="D137" s="156">
        <f>IF(F136+SUM(E$100:E136)=D$93,F136,D$93-SUM(E$100:E136))</f>
        <v>28664.751360716469</v>
      </c>
      <c r="E137" s="162">
        <f>IF(+J97&lt;F136,J97,D137)</f>
        <v>17076.472222222223</v>
      </c>
      <c r="F137" s="161">
        <f t="shared" si="37"/>
        <v>11588.279138494247</v>
      </c>
      <c r="G137" s="161">
        <f t="shared" si="30"/>
        <v>20126.515249605356</v>
      </c>
      <c r="H137" s="165">
        <f t="shared" si="31"/>
        <v>19201.0764638006</v>
      </c>
      <c r="I137" s="299">
        <f t="shared" si="32"/>
        <v>19201.0764638006</v>
      </c>
      <c r="J137" s="160">
        <f t="shared" si="33"/>
        <v>0</v>
      </c>
      <c r="K137" s="160"/>
      <c r="L137" s="316"/>
      <c r="M137" s="160">
        <f t="shared" si="34"/>
        <v>0</v>
      </c>
      <c r="N137" s="316"/>
      <c r="O137" s="160">
        <f t="shared" si="35"/>
        <v>0</v>
      </c>
      <c r="P137" s="160">
        <f t="shared" si="36"/>
        <v>0</v>
      </c>
      <c r="Q137" s="1"/>
      <c r="R137" s="1"/>
      <c r="S137" s="1"/>
      <c r="T137" s="1"/>
      <c r="U137" s="1"/>
    </row>
    <row r="138" spans="2:21">
      <c r="B138" t="str">
        <f t="shared" si="29"/>
        <v/>
      </c>
      <c r="C138" s="155">
        <f>IF(D94="","-",+C137+1)</f>
        <v>2049</v>
      </c>
      <c r="D138" s="156">
        <f>IF(F137+SUM(E$100:E137)=D$93,F137,D$93-SUM(E$100:E137))</f>
        <v>11588.279138494247</v>
      </c>
      <c r="E138" s="162">
        <f>IF(+J97&lt;F137,J97,D138)</f>
        <v>11588.279138494247</v>
      </c>
      <c r="F138" s="161">
        <f t="shared" si="37"/>
        <v>0</v>
      </c>
      <c r="G138" s="161">
        <f t="shared" si="30"/>
        <v>5794.1395692471233</v>
      </c>
      <c r="H138" s="165">
        <f t="shared" si="31"/>
        <v>12199.922701845877</v>
      </c>
      <c r="I138" s="299">
        <f t="shared" si="32"/>
        <v>12199.922701845877</v>
      </c>
      <c r="J138" s="160">
        <f t="shared" si="33"/>
        <v>0</v>
      </c>
      <c r="K138" s="160"/>
      <c r="L138" s="316"/>
      <c r="M138" s="160">
        <f t="shared" si="34"/>
        <v>0</v>
      </c>
      <c r="N138" s="316"/>
      <c r="O138" s="160">
        <f t="shared" si="35"/>
        <v>0</v>
      </c>
      <c r="P138" s="160">
        <f t="shared" si="36"/>
        <v>0</v>
      </c>
      <c r="Q138" s="1"/>
      <c r="R138" s="1"/>
      <c r="S138" s="1"/>
      <c r="T138" s="1"/>
      <c r="U138" s="1"/>
    </row>
    <row r="139" spans="2:21">
      <c r="B139" t="str">
        <f t="shared" si="29"/>
        <v/>
      </c>
      <c r="C139" s="155">
        <f>IF(D94="","-",+C138+1)</f>
        <v>2050</v>
      </c>
      <c r="D139" s="156">
        <f>IF(F138+SUM(E$100:E138)=D$93,F138,D$93-SUM(E$100:E138))</f>
        <v>0</v>
      </c>
      <c r="E139" s="162">
        <f>IF(+J97&lt;F138,J97,D139)</f>
        <v>0</v>
      </c>
      <c r="F139" s="161">
        <f t="shared" si="37"/>
        <v>0</v>
      </c>
      <c r="G139" s="161">
        <f t="shared" si="30"/>
        <v>0</v>
      </c>
      <c r="H139" s="165">
        <f t="shared" si="31"/>
        <v>0</v>
      </c>
      <c r="I139" s="299">
        <f t="shared" si="32"/>
        <v>0</v>
      </c>
      <c r="J139" s="160">
        <f t="shared" si="33"/>
        <v>0</v>
      </c>
      <c r="K139" s="160"/>
      <c r="L139" s="316"/>
      <c r="M139" s="160">
        <f t="shared" si="34"/>
        <v>0</v>
      </c>
      <c r="N139" s="316"/>
      <c r="O139" s="160">
        <f t="shared" si="35"/>
        <v>0</v>
      </c>
      <c r="P139" s="160">
        <f t="shared" si="36"/>
        <v>0</v>
      </c>
      <c r="Q139" s="1"/>
      <c r="R139" s="1"/>
      <c r="S139" s="1"/>
      <c r="T139" s="1"/>
      <c r="U139" s="1"/>
    </row>
    <row r="140" spans="2:21">
      <c r="B140" t="str">
        <f t="shared" si="29"/>
        <v/>
      </c>
      <c r="C140" s="155">
        <f>IF(D94="","-",+C139+1)</f>
        <v>2051</v>
      </c>
      <c r="D140" s="156">
        <f>IF(F139+SUM(E$100:E139)=D$93,F139,D$93-SUM(E$100:E139))</f>
        <v>0</v>
      </c>
      <c r="E140" s="162">
        <f>IF(+J97&lt;F139,J97,D140)</f>
        <v>0</v>
      </c>
      <c r="F140" s="161">
        <f t="shared" si="37"/>
        <v>0</v>
      </c>
      <c r="G140" s="161">
        <f t="shared" si="30"/>
        <v>0</v>
      </c>
      <c r="H140" s="165">
        <f t="shared" si="31"/>
        <v>0</v>
      </c>
      <c r="I140" s="299">
        <f t="shared" si="32"/>
        <v>0</v>
      </c>
      <c r="J140" s="160">
        <f t="shared" si="33"/>
        <v>0</v>
      </c>
      <c r="K140" s="160"/>
      <c r="L140" s="316"/>
      <c r="M140" s="160">
        <f t="shared" si="34"/>
        <v>0</v>
      </c>
      <c r="N140" s="316"/>
      <c r="O140" s="160">
        <f t="shared" si="35"/>
        <v>0</v>
      </c>
      <c r="P140" s="160">
        <f t="shared" si="36"/>
        <v>0</v>
      </c>
      <c r="Q140" s="1"/>
      <c r="R140" s="1"/>
      <c r="S140" s="1"/>
      <c r="T140" s="1"/>
      <c r="U140" s="1"/>
    </row>
    <row r="141" spans="2:21">
      <c r="B141" t="str">
        <f t="shared" si="29"/>
        <v/>
      </c>
      <c r="C141" s="155">
        <f>IF(D94="","-",+C140+1)</f>
        <v>2052</v>
      </c>
      <c r="D141" s="156">
        <f>IF(F140+SUM(E$100:E140)=D$93,F140,D$93-SUM(E$100:E140))</f>
        <v>0</v>
      </c>
      <c r="E141" s="162">
        <f>IF(+J97&lt;F140,J97,D141)</f>
        <v>0</v>
      </c>
      <c r="F141" s="161">
        <f t="shared" si="37"/>
        <v>0</v>
      </c>
      <c r="G141" s="161">
        <f t="shared" si="30"/>
        <v>0</v>
      </c>
      <c r="H141" s="165">
        <f t="shared" si="31"/>
        <v>0</v>
      </c>
      <c r="I141" s="299">
        <f t="shared" si="32"/>
        <v>0</v>
      </c>
      <c r="J141" s="160">
        <f t="shared" si="33"/>
        <v>0</v>
      </c>
      <c r="K141" s="160"/>
      <c r="L141" s="316"/>
      <c r="M141" s="160">
        <f t="shared" si="34"/>
        <v>0</v>
      </c>
      <c r="N141" s="316"/>
      <c r="O141" s="160">
        <f t="shared" si="35"/>
        <v>0</v>
      </c>
      <c r="P141" s="160">
        <f t="shared" si="36"/>
        <v>0</v>
      </c>
      <c r="Q141" s="1"/>
      <c r="R141" s="1"/>
      <c r="S141" s="1"/>
      <c r="T141" s="1"/>
      <c r="U141" s="1"/>
    </row>
    <row r="142" spans="2:21">
      <c r="B142" t="str">
        <f t="shared" si="29"/>
        <v/>
      </c>
      <c r="C142" s="155">
        <f>IF(D94="","-",+C141+1)</f>
        <v>2053</v>
      </c>
      <c r="D142" s="156">
        <f>IF(F141+SUM(E$100:E141)=D$93,F141,D$93-SUM(E$100:E141))</f>
        <v>0</v>
      </c>
      <c r="E142" s="162">
        <f>IF(+J97&lt;F141,J97,D142)</f>
        <v>0</v>
      </c>
      <c r="F142" s="161">
        <f t="shared" si="37"/>
        <v>0</v>
      </c>
      <c r="G142" s="161">
        <f t="shared" si="30"/>
        <v>0</v>
      </c>
      <c r="H142" s="165">
        <f t="shared" si="31"/>
        <v>0</v>
      </c>
      <c r="I142" s="299">
        <f t="shared" si="32"/>
        <v>0</v>
      </c>
      <c r="J142" s="160">
        <f t="shared" si="33"/>
        <v>0</v>
      </c>
      <c r="K142" s="160"/>
      <c r="L142" s="316"/>
      <c r="M142" s="160">
        <f t="shared" si="34"/>
        <v>0</v>
      </c>
      <c r="N142" s="316"/>
      <c r="O142" s="160">
        <f t="shared" si="35"/>
        <v>0</v>
      </c>
      <c r="P142" s="160">
        <f t="shared" si="36"/>
        <v>0</v>
      </c>
      <c r="Q142" s="1"/>
      <c r="R142" s="1"/>
      <c r="S142" s="1"/>
      <c r="T142" s="1"/>
      <c r="U142" s="1"/>
    </row>
    <row r="143" spans="2:21">
      <c r="B143" t="str">
        <f t="shared" si="29"/>
        <v/>
      </c>
      <c r="C143" s="155">
        <f>IF(D94="","-",+C142+1)</f>
        <v>2054</v>
      </c>
      <c r="D143" s="156">
        <f>IF(F142+SUM(E$100:E142)=D$93,F142,D$93-SUM(E$100:E142))</f>
        <v>0</v>
      </c>
      <c r="E143" s="162">
        <f>IF(+J97&lt;F142,J97,D143)</f>
        <v>0</v>
      </c>
      <c r="F143" s="161">
        <f t="shared" si="37"/>
        <v>0</v>
      </c>
      <c r="G143" s="161">
        <f t="shared" si="30"/>
        <v>0</v>
      </c>
      <c r="H143" s="165">
        <f t="shared" si="31"/>
        <v>0</v>
      </c>
      <c r="I143" s="299">
        <f t="shared" si="32"/>
        <v>0</v>
      </c>
      <c r="J143" s="160">
        <f t="shared" si="33"/>
        <v>0</v>
      </c>
      <c r="K143" s="160"/>
      <c r="L143" s="316"/>
      <c r="M143" s="160">
        <f t="shared" si="34"/>
        <v>0</v>
      </c>
      <c r="N143" s="316"/>
      <c r="O143" s="160">
        <f t="shared" si="35"/>
        <v>0</v>
      </c>
      <c r="P143" s="160">
        <f t="shared" si="36"/>
        <v>0</v>
      </c>
      <c r="Q143" s="1"/>
      <c r="R143" s="1"/>
      <c r="S143" s="1"/>
      <c r="T143" s="1"/>
      <c r="U143" s="1"/>
    </row>
    <row r="144" spans="2:21">
      <c r="B144" t="str">
        <f t="shared" si="29"/>
        <v/>
      </c>
      <c r="C144" s="155">
        <f>IF(D94="","-",+C143+1)</f>
        <v>2055</v>
      </c>
      <c r="D144" s="156">
        <f>IF(F143+SUM(E$100:E143)=D$93,F143,D$93-SUM(E$100:E143))</f>
        <v>0</v>
      </c>
      <c r="E144" s="162">
        <f>IF(+J97&lt;F143,J97,D144)</f>
        <v>0</v>
      </c>
      <c r="F144" s="161">
        <f t="shared" si="37"/>
        <v>0</v>
      </c>
      <c r="G144" s="161">
        <f t="shared" si="30"/>
        <v>0</v>
      </c>
      <c r="H144" s="165">
        <f t="shared" si="31"/>
        <v>0</v>
      </c>
      <c r="I144" s="299">
        <f t="shared" si="32"/>
        <v>0</v>
      </c>
      <c r="J144" s="160">
        <f t="shared" si="33"/>
        <v>0</v>
      </c>
      <c r="K144" s="160"/>
      <c r="L144" s="316"/>
      <c r="M144" s="160">
        <f t="shared" si="34"/>
        <v>0</v>
      </c>
      <c r="N144" s="316"/>
      <c r="O144" s="160">
        <f t="shared" si="35"/>
        <v>0</v>
      </c>
      <c r="P144" s="160">
        <f t="shared" si="36"/>
        <v>0</v>
      </c>
      <c r="Q144" s="1"/>
      <c r="R144" s="1"/>
      <c r="S144" s="1"/>
      <c r="T144" s="1"/>
      <c r="U144" s="1"/>
    </row>
    <row r="145" spans="2:21">
      <c r="B145" t="str">
        <f t="shared" si="29"/>
        <v/>
      </c>
      <c r="C145" s="155">
        <f>IF(D94="","-",+C144+1)</f>
        <v>2056</v>
      </c>
      <c r="D145" s="156">
        <f>IF(F144+SUM(E$100:E144)=D$93,F144,D$93-SUM(E$100:E144))</f>
        <v>0</v>
      </c>
      <c r="E145" s="162">
        <f>IF(+J97&lt;F144,J97,D145)</f>
        <v>0</v>
      </c>
      <c r="F145" s="161">
        <f t="shared" si="37"/>
        <v>0</v>
      </c>
      <c r="G145" s="161">
        <f t="shared" si="30"/>
        <v>0</v>
      </c>
      <c r="H145" s="165">
        <f t="shared" si="31"/>
        <v>0</v>
      </c>
      <c r="I145" s="299">
        <f t="shared" si="32"/>
        <v>0</v>
      </c>
      <c r="J145" s="160">
        <f t="shared" si="33"/>
        <v>0</v>
      </c>
      <c r="K145" s="160"/>
      <c r="L145" s="316"/>
      <c r="M145" s="160">
        <f t="shared" si="34"/>
        <v>0</v>
      </c>
      <c r="N145" s="316"/>
      <c r="O145" s="160">
        <f t="shared" si="35"/>
        <v>0</v>
      </c>
      <c r="P145" s="160">
        <f t="shared" si="36"/>
        <v>0</v>
      </c>
      <c r="Q145" s="1"/>
      <c r="R145" s="1"/>
      <c r="S145" s="1"/>
      <c r="T145" s="1"/>
      <c r="U145" s="1"/>
    </row>
    <row r="146" spans="2:21">
      <c r="B146" t="str">
        <f t="shared" si="29"/>
        <v/>
      </c>
      <c r="C146" s="155">
        <f>IF(D94="","-",+C145+1)</f>
        <v>2057</v>
      </c>
      <c r="D146" s="156">
        <f>IF(F145+SUM(E$100:E145)=D$93,F145,D$93-SUM(E$100:E145))</f>
        <v>0</v>
      </c>
      <c r="E146" s="162">
        <f>IF(+J97&lt;F145,J97,D146)</f>
        <v>0</v>
      </c>
      <c r="F146" s="161">
        <f t="shared" si="37"/>
        <v>0</v>
      </c>
      <c r="G146" s="161">
        <f t="shared" si="30"/>
        <v>0</v>
      </c>
      <c r="H146" s="165">
        <f t="shared" si="31"/>
        <v>0</v>
      </c>
      <c r="I146" s="299">
        <f t="shared" si="32"/>
        <v>0</v>
      </c>
      <c r="J146" s="160">
        <f t="shared" si="33"/>
        <v>0</v>
      </c>
      <c r="K146" s="160"/>
      <c r="L146" s="316"/>
      <c r="M146" s="160">
        <f t="shared" si="34"/>
        <v>0</v>
      </c>
      <c r="N146" s="316"/>
      <c r="O146" s="160">
        <f t="shared" si="35"/>
        <v>0</v>
      </c>
      <c r="P146" s="160">
        <f t="shared" si="36"/>
        <v>0</v>
      </c>
      <c r="Q146" s="1"/>
      <c r="R146" s="1"/>
      <c r="S146" s="1"/>
      <c r="T146" s="1"/>
      <c r="U146" s="1"/>
    </row>
    <row r="147" spans="2:21">
      <c r="B147" t="str">
        <f t="shared" si="29"/>
        <v/>
      </c>
      <c r="C147" s="155">
        <f>IF(D94="","-",+C146+1)</f>
        <v>2058</v>
      </c>
      <c r="D147" s="156">
        <f>IF(F146+SUM(E$100:E146)=D$93,F146,D$93-SUM(E$100:E146))</f>
        <v>0</v>
      </c>
      <c r="E147" s="162">
        <f>IF(+J97&lt;F146,J97,D147)</f>
        <v>0</v>
      </c>
      <c r="F147" s="161">
        <f t="shared" si="37"/>
        <v>0</v>
      </c>
      <c r="G147" s="161">
        <f t="shared" si="30"/>
        <v>0</v>
      </c>
      <c r="H147" s="165">
        <f t="shared" si="31"/>
        <v>0</v>
      </c>
      <c r="I147" s="299">
        <f t="shared" si="32"/>
        <v>0</v>
      </c>
      <c r="J147" s="160">
        <f t="shared" si="33"/>
        <v>0</v>
      </c>
      <c r="K147" s="160"/>
      <c r="L147" s="316"/>
      <c r="M147" s="160">
        <f t="shared" si="34"/>
        <v>0</v>
      </c>
      <c r="N147" s="316"/>
      <c r="O147" s="160">
        <f t="shared" si="35"/>
        <v>0</v>
      </c>
      <c r="P147" s="160">
        <f t="shared" si="36"/>
        <v>0</v>
      </c>
      <c r="Q147" s="1"/>
      <c r="R147" s="1"/>
      <c r="S147" s="1"/>
      <c r="T147" s="1"/>
      <c r="U147" s="1"/>
    </row>
    <row r="148" spans="2:21">
      <c r="B148" t="str">
        <f t="shared" si="29"/>
        <v/>
      </c>
      <c r="C148" s="155">
        <f>IF(D94="","-",+C147+1)</f>
        <v>2059</v>
      </c>
      <c r="D148" s="156">
        <f>IF(F147+SUM(E$100:E147)=D$93,F147,D$93-SUM(E$100:E147))</f>
        <v>0</v>
      </c>
      <c r="E148" s="162">
        <f>IF(+J97&lt;F147,J97,D148)</f>
        <v>0</v>
      </c>
      <c r="F148" s="161">
        <f t="shared" si="37"/>
        <v>0</v>
      </c>
      <c r="G148" s="161">
        <f t="shared" si="30"/>
        <v>0</v>
      </c>
      <c r="H148" s="165">
        <f t="shared" si="31"/>
        <v>0</v>
      </c>
      <c r="I148" s="299">
        <f t="shared" si="32"/>
        <v>0</v>
      </c>
      <c r="J148" s="160">
        <f t="shared" si="33"/>
        <v>0</v>
      </c>
      <c r="K148" s="160"/>
      <c r="L148" s="316"/>
      <c r="M148" s="160">
        <f t="shared" si="34"/>
        <v>0</v>
      </c>
      <c r="N148" s="316"/>
      <c r="O148" s="160">
        <f t="shared" si="35"/>
        <v>0</v>
      </c>
      <c r="P148" s="160">
        <f t="shared" si="36"/>
        <v>0</v>
      </c>
      <c r="Q148" s="1"/>
      <c r="R148" s="1"/>
      <c r="S148" s="1"/>
      <c r="T148" s="1"/>
      <c r="U148" s="1"/>
    </row>
    <row r="149" spans="2:21">
      <c r="B149" t="str">
        <f t="shared" si="29"/>
        <v/>
      </c>
      <c r="C149" s="155">
        <f>IF(D94="","-",+C148+1)</f>
        <v>2060</v>
      </c>
      <c r="D149" s="156">
        <f>IF(F148+SUM(E$100:E148)=D$93,F148,D$93-SUM(E$100:E148))</f>
        <v>0</v>
      </c>
      <c r="E149" s="162">
        <f>IF(+J97&lt;F148,J97,D149)</f>
        <v>0</v>
      </c>
      <c r="F149" s="161">
        <f t="shared" si="37"/>
        <v>0</v>
      </c>
      <c r="G149" s="161">
        <f t="shared" si="30"/>
        <v>0</v>
      </c>
      <c r="H149" s="165">
        <f t="shared" si="31"/>
        <v>0</v>
      </c>
      <c r="I149" s="299">
        <f t="shared" si="32"/>
        <v>0</v>
      </c>
      <c r="J149" s="160">
        <f t="shared" si="33"/>
        <v>0</v>
      </c>
      <c r="K149" s="160"/>
      <c r="L149" s="316"/>
      <c r="M149" s="160">
        <f t="shared" si="34"/>
        <v>0</v>
      </c>
      <c r="N149" s="316"/>
      <c r="O149" s="160">
        <f t="shared" si="35"/>
        <v>0</v>
      </c>
      <c r="P149" s="160">
        <f t="shared" si="36"/>
        <v>0</v>
      </c>
      <c r="Q149" s="1"/>
      <c r="R149" s="1"/>
      <c r="S149" s="1"/>
      <c r="T149" s="1"/>
      <c r="U149" s="1"/>
    </row>
    <row r="150" spans="2:21">
      <c r="B150" t="str">
        <f t="shared" si="29"/>
        <v/>
      </c>
      <c r="C150" s="155">
        <f>IF(D94="","-",+C149+1)</f>
        <v>2061</v>
      </c>
      <c r="D150" s="156">
        <f>IF(F149+SUM(E$100:E149)=D$93,F149,D$93-SUM(E$100:E149))</f>
        <v>0</v>
      </c>
      <c r="E150" s="162">
        <f>IF(+J97&lt;F149,J97,D150)</f>
        <v>0</v>
      </c>
      <c r="F150" s="161">
        <f t="shared" si="37"/>
        <v>0</v>
      </c>
      <c r="G150" s="161">
        <f t="shared" si="30"/>
        <v>0</v>
      </c>
      <c r="H150" s="165">
        <f t="shared" si="31"/>
        <v>0</v>
      </c>
      <c r="I150" s="299">
        <f t="shared" si="32"/>
        <v>0</v>
      </c>
      <c r="J150" s="160">
        <f t="shared" si="33"/>
        <v>0</v>
      </c>
      <c r="K150" s="160"/>
      <c r="L150" s="316"/>
      <c r="M150" s="160">
        <f t="shared" si="34"/>
        <v>0</v>
      </c>
      <c r="N150" s="316"/>
      <c r="O150" s="160">
        <f t="shared" si="35"/>
        <v>0</v>
      </c>
      <c r="P150" s="160">
        <f t="shared" si="36"/>
        <v>0</v>
      </c>
      <c r="Q150" s="1"/>
      <c r="R150" s="1"/>
      <c r="S150" s="1"/>
      <c r="T150" s="1"/>
      <c r="U150" s="1"/>
    </row>
    <row r="151" spans="2:21">
      <c r="B151" t="str">
        <f t="shared" si="29"/>
        <v/>
      </c>
      <c r="C151" s="155">
        <f>IF(D94="","-",+C150+1)</f>
        <v>2062</v>
      </c>
      <c r="D151" s="156">
        <f>IF(F150+SUM(E$100:E150)=D$93,F150,D$93-SUM(E$100:E150))</f>
        <v>0</v>
      </c>
      <c r="E151" s="162">
        <f>IF(+J97&lt;F150,J97,D151)</f>
        <v>0</v>
      </c>
      <c r="F151" s="161">
        <f t="shared" si="37"/>
        <v>0</v>
      </c>
      <c r="G151" s="161">
        <f t="shared" si="30"/>
        <v>0</v>
      </c>
      <c r="H151" s="165">
        <f t="shared" si="31"/>
        <v>0</v>
      </c>
      <c r="I151" s="299">
        <f t="shared" si="32"/>
        <v>0</v>
      </c>
      <c r="J151" s="160">
        <f t="shared" si="33"/>
        <v>0</v>
      </c>
      <c r="K151" s="160"/>
      <c r="L151" s="316"/>
      <c r="M151" s="160">
        <f t="shared" si="34"/>
        <v>0</v>
      </c>
      <c r="N151" s="316"/>
      <c r="O151" s="160">
        <f t="shared" si="35"/>
        <v>0</v>
      </c>
      <c r="P151" s="160">
        <f t="shared" si="36"/>
        <v>0</v>
      </c>
      <c r="Q151" s="1"/>
      <c r="R151" s="1"/>
      <c r="S151" s="1"/>
      <c r="T151" s="1"/>
      <c r="U151" s="1"/>
    </row>
    <row r="152" spans="2:21">
      <c r="B152" t="str">
        <f t="shared" si="29"/>
        <v/>
      </c>
      <c r="C152" s="155">
        <f>IF(D94="","-",+C151+1)</f>
        <v>2063</v>
      </c>
      <c r="D152" s="156">
        <f>IF(F151+SUM(E$100:E151)=D$93,F151,D$93-SUM(E$100:E151))</f>
        <v>0</v>
      </c>
      <c r="E152" s="162">
        <f>IF(+J97&lt;F151,J97,D152)</f>
        <v>0</v>
      </c>
      <c r="F152" s="161">
        <f t="shared" si="37"/>
        <v>0</v>
      </c>
      <c r="G152" s="161">
        <f t="shared" si="30"/>
        <v>0</v>
      </c>
      <c r="H152" s="165">
        <f t="shared" si="31"/>
        <v>0</v>
      </c>
      <c r="I152" s="299">
        <f t="shared" si="32"/>
        <v>0</v>
      </c>
      <c r="J152" s="160">
        <f t="shared" si="33"/>
        <v>0</v>
      </c>
      <c r="K152" s="160"/>
      <c r="L152" s="316"/>
      <c r="M152" s="160">
        <f t="shared" si="34"/>
        <v>0</v>
      </c>
      <c r="N152" s="316"/>
      <c r="O152" s="160">
        <f t="shared" si="35"/>
        <v>0</v>
      </c>
      <c r="P152" s="160">
        <f t="shared" si="36"/>
        <v>0</v>
      </c>
      <c r="Q152" s="1"/>
      <c r="R152" s="1"/>
      <c r="S152" s="1"/>
      <c r="T152" s="1"/>
      <c r="U152" s="1"/>
    </row>
    <row r="153" spans="2:21">
      <c r="B153" t="str">
        <f t="shared" si="29"/>
        <v/>
      </c>
      <c r="C153" s="155">
        <f>IF(D94="","-",+C152+1)</f>
        <v>2064</v>
      </c>
      <c r="D153" s="156">
        <f>IF(F152+SUM(E$100:E152)=D$93,F152,D$93-SUM(E$100:E152))</f>
        <v>0</v>
      </c>
      <c r="E153" s="162">
        <f>IF(+J97&lt;F152,J97,D153)</f>
        <v>0</v>
      </c>
      <c r="F153" s="161">
        <f t="shared" si="37"/>
        <v>0</v>
      </c>
      <c r="G153" s="161">
        <f t="shared" si="30"/>
        <v>0</v>
      </c>
      <c r="H153" s="165">
        <f t="shared" si="31"/>
        <v>0</v>
      </c>
      <c r="I153" s="299">
        <f t="shared" si="32"/>
        <v>0</v>
      </c>
      <c r="J153" s="160">
        <f t="shared" si="33"/>
        <v>0</v>
      </c>
      <c r="K153" s="160"/>
      <c r="L153" s="316"/>
      <c r="M153" s="160">
        <f t="shared" si="34"/>
        <v>0</v>
      </c>
      <c r="N153" s="316"/>
      <c r="O153" s="160">
        <f t="shared" si="35"/>
        <v>0</v>
      </c>
      <c r="P153" s="160">
        <f t="shared" si="36"/>
        <v>0</v>
      </c>
      <c r="Q153" s="1"/>
      <c r="R153" s="1"/>
      <c r="S153" s="1"/>
      <c r="T153" s="1"/>
      <c r="U153" s="1"/>
    </row>
    <row r="154" spans="2:21">
      <c r="B154" t="str">
        <f t="shared" si="29"/>
        <v/>
      </c>
      <c r="C154" s="155">
        <f>IF(D94="","-",+C153+1)</f>
        <v>2065</v>
      </c>
      <c r="D154" s="156">
        <f>IF(F153+SUM(E$100:E153)=D$93,F153,D$93-SUM(E$100:E153))</f>
        <v>0</v>
      </c>
      <c r="E154" s="162">
        <f>IF(+J97&lt;F153,J97,D154)</f>
        <v>0</v>
      </c>
      <c r="F154" s="161">
        <f t="shared" si="37"/>
        <v>0</v>
      </c>
      <c r="G154" s="161">
        <f t="shared" si="30"/>
        <v>0</v>
      </c>
      <c r="H154" s="165">
        <f t="shared" si="31"/>
        <v>0</v>
      </c>
      <c r="I154" s="299">
        <f t="shared" si="32"/>
        <v>0</v>
      </c>
      <c r="J154" s="160">
        <f t="shared" si="33"/>
        <v>0</v>
      </c>
      <c r="K154" s="160"/>
      <c r="L154" s="316"/>
      <c r="M154" s="160">
        <f t="shared" si="34"/>
        <v>0</v>
      </c>
      <c r="N154" s="316"/>
      <c r="O154" s="160">
        <f t="shared" si="35"/>
        <v>0</v>
      </c>
      <c r="P154" s="160">
        <f t="shared" si="36"/>
        <v>0</v>
      </c>
      <c r="Q154" s="1"/>
      <c r="R154" s="1"/>
      <c r="S154" s="1"/>
      <c r="T154" s="1"/>
      <c r="U154" s="1"/>
    </row>
    <row r="155" spans="2:21" ht="13.5" thickBot="1">
      <c r="B155" t="str">
        <f t="shared" si="29"/>
        <v/>
      </c>
      <c r="C155" s="166">
        <f>IF(D94="","-",+C154+1)</f>
        <v>2066</v>
      </c>
      <c r="D155" s="167">
        <f>IF(F154+SUM(E$100:E154)=D$93,F154,D$93-SUM(E$100:E154))</f>
        <v>0</v>
      </c>
      <c r="E155" s="168">
        <f>IF(+J97&lt;F154,J97,D155)</f>
        <v>0</v>
      </c>
      <c r="F155" s="167">
        <f t="shared" si="37"/>
        <v>0</v>
      </c>
      <c r="G155" s="167">
        <f t="shared" si="30"/>
        <v>0</v>
      </c>
      <c r="H155" s="169">
        <f t="shared" si="31"/>
        <v>0</v>
      </c>
      <c r="I155" s="300">
        <f t="shared" si="32"/>
        <v>0</v>
      </c>
      <c r="J155" s="171">
        <f t="shared" si="33"/>
        <v>0</v>
      </c>
      <c r="K155" s="160"/>
      <c r="L155" s="317"/>
      <c r="M155" s="171">
        <f t="shared" si="34"/>
        <v>0</v>
      </c>
      <c r="N155" s="317"/>
      <c r="O155" s="171">
        <f t="shared" si="35"/>
        <v>0</v>
      </c>
      <c r="P155" s="171">
        <f t="shared" si="36"/>
        <v>0</v>
      </c>
      <c r="Q155" s="1"/>
      <c r="R155" s="1"/>
      <c r="S155" s="1"/>
      <c r="T155" s="1"/>
      <c r="U155" s="1"/>
    </row>
    <row r="156" spans="2:21">
      <c r="C156" s="156" t="s">
        <v>75</v>
      </c>
      <c r="D156" s="112"/>
      <c r="E156" s="112">
        <f>SUM(E100:E155)</f>
        <v>614753.00000000023</v>
      </c>
      <c r="F156" s="112"/>
      <c r="G156" s="112"/>
      <c r="H156" s="112">
        <f>SUM(H100:H155)</f>
        <v>1924073.3835796381</v>
      </c>
      <c r="I156" s="112">
        <f>SUM(I100:I155)</f>
        <v>1924073.3835796381</v>
      </c>
      <c r="J156" s="112">
        <f>SUM(J100:J155)</f>
        <v>0</v>
      </c>
      <c r="K156" s="112"/>
      <c r="L156" s="112"/>
      <c r="M156" s="112"/>
      <c r="N156" s="112"/>
      <c r="O156" s="112"/>
      <c r="P156" s="1"/>
      <c r="Q156" s="1"/>
      <c r="R156" s="1"/>
      <c r="S156" s="1"/>
      <c r="T156" s="1"/>
      <c r="U156" s="1"/>
    </row>
    <row r="157" spans="2:21">
      <c r="D157" s="2"/>
      <c r="E157" s="1"/>
      <c r="F157" s="1"/>
      <c r="G157" s="1"/>
      <c r="H157" s="1"/>
      <c r="I157" s="3"/>
      <c r="J157" s="3"/>
      <c r="K157" s="112"/>
      <c r="L157" s="3"/>
      <c r="M157" s="3"/>
      <c r="N157" s="3"/>
      <c r="O157" s="3"/>
      <c r="P157" s="1"/>
      <c r="Q157" s="1"/>
      <c r="R157" s="1"/>
      <c r="S157" s="1"/>
      <c r="T157" s="1"/>
      <c r="U157" s="1"/>
    </row>
    <row r="158" spans="2:21">
      <c r="C158" s="215" t="s">
        <v>90</v>
      </c>
      <c r="D158" s="2"/>
      <c r="E158" s="1"/>
      <c r="F158" s="1"/>
      <c r="G158" s="1"/>
      <c r="H158" s="1"/>
      <c r="I158" s="3"/>
      <c r="J158" s="3"/>
      <c r="K158" s="112"/>
      <c r="L158" s="3"/>
      <c r="M158" s="3"/>
      <c r="N158" s="3"/>
      <c r="O158" s="3"/>
      <c r="P158" s="1"/>
      <c r="Q158" s="1"/>
      <c r="R158" s="1"/>
      <c r="S158" s="1"/>
      <c r="T158" s="1"/>
      <c r="U158" s="1"/>
    </row>
    <row r="159" spans="2:21">
      <c r="D159" s="2"/>
      <c r="E159" s="1"/>
      <c r="F159" s="1"/>
      <c r="G159" s="1"/>
      <c r="H159" s="1"/>
      <c r="I159" s="3"/>
      <c r="J159" s="3"/>
      <c r="K159" s="112"/>
      <c r="L159" s="3"/>
      <c r="M159" s="3"/>
      <c r="N159" s="3"/>
      <c r="O159" s="3"/>
      <c r="P159" s="1"/>
      <c r="Q159" s="1"/>
      <c r="R159" s="1"/>
      <c r="S159" s="1"/>
      <c r="T159" s="1"/>
      <c r="U159" s="1"/>
    </row>
    <row r="160" spans="2:21">
      <c r="C160" s="172" t="s">
        <v>96</v>
      </c>
      <c r="D160" s="156"/>
      <c r="E160" s="156"/>
      <c r="F160" s="156"/>
      <c r="G160" s="156"/>
      <c r="H160" s="112"/>
      <c r="I160" s="112"/>
      <c r="J160" s="173"/>
      <c r="K160" s="173"/>
      <c r="L160" s="173"/>
      <c r="M160" s="173"/>
      <c r="N160" s="173"/>
      <c r="O160" s="173"/>
      <c r="P160" s="1"/>
      <c r="Q160" s="1"/>
      <c r="R160" s="1"/>
      <c r="S160" s="1"/>
      <c r="T160" s="1"/>
      <c r="U160" s="1"/>
    </row>
    <row r="161" spans="3:21">
      <c r="C161" s="216" t="s">
        <v>76</v>
      </c>
      <c r="D161" s="156"/>
      <c r="E161" s="156"/>
      <c r="F161" s="156"/>
      <c r="G161" s="156"/>
      <c r="H161" s="112"/>
      <c r="I161" s="112"/>
      <c r="J161" s="173"/>
      <c r="K161" s="173"/>
      <c r="L161" s="173"/>
      <c r="M161" s="173"/>
      <c r="N161" s="173"/>
      <c r="O161" s="173"/>
      <c r="P161" s="1"/>
      <c r="Q161" s="1"/>
      <c r="R161" s="1"/>
      <c r="S161" s="1"/>
      <c r="T161" s="1"/>
      <c r="U161" s="1"/>
    </row>
    <row r="162" spans="3:21">
      <c r="C162" s="216" t="s">
        <v>77</v>
      </c>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phoneticPr fontId="0" type="noConversion"/>
  <conditionalFormatting sqref="C17:C73">
    <cfRule type="cellIs" dxfId="43" priority="1" stopIfTrue="1" operator="equal">
      <formula>$I$10</formula>
    </cfRule>
  </conditionalFormatting>
  <conditionalFormatting sqref="C100:C155">
    <cfRule type="cellIs" dxfId="42"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rgb="FF92D050"/>
  </sheetPr>
  <dimension ref="A1:U163"/>
  <sheetViews>
    <sheetView view="pageBreakPreview" zoomScale="90" zoomScaleNormal="100" zoomScaleSheetLayoutView="90" workbookViewId="0">
      <selection activeCell="D24" sqref="D24:H24"/>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4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t="str">
        <f>"For Calendar Year "&amp;V1-1&amp;" and Projected Year "&amp;V1</f>
        <v xml:space="preserve">For Calendar Year -1 and Projected Year </v>
      </c>
      <c r="I3" s="3"/>
      <c r="J3" s="112"/>
      <c r="K3" s="3"/>
      <c r="L3" s="3"/>
      <c r="M3" s="3"/>
      <c r="N3" s="3"/>
      <c r="O3" s="1"/>
      <c r="P3" s="237">
        <v>1</v>
      </c>
      <c r="R3" s="1"/>
      <c r="S3" s="1"/>
      <c r="T3" s="1"/>
      <c r="U3" s="1"/>
    </row>
    <row r="4" spans="1:21" ht="16.5" thickBot="1">
      <c r="C4" s="409" t="s">
        <v>237</v>
      </c>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1401504.2219921714</v>
      </c>
      <c r="P5" s="1"/>
      <c r="R5" s="1"/>
      <c r="S5" s="1"/>
      <c r="T5" s="1"/>
      <c r="U5" s="1"/>
    </row>
    <row r="6" spans="1:21" ht="15.75">
      <c r="C6" s="410" t="s">
        <v>238</v>
      </c>
      <c r="D6" s="2"/>
      <c r="E6" s="1"/>
      <c r="F6" s="1"/>
      <c r="G6" s="1"/>
      <c r="H6" s="119"/>
      <c r="I6" s="119"/>
      <c r="J6" s="120"/>
      <c r="K6" s="121" t="s">
        <v>243</v>
      </c>
      <c r="L6" s="122"/>
      <c r="M6" s="4"/>
      <c r="N6" s="123">
        <f>VLOOKUP(I10,C17:I73,6)</f>
        <v>1401504.2219921714</v>
      </c>
      <c r="O6" s="1"/>
      <c r="P6" s="1"/>
      <c r="R6" s="1"/>
      <c r="S6" s="1"/>
      <c r="T6" s="1"/>
      <c r="U6" s="1"/>
    </row>
    <row r="7" spans="1:21" ht="13.5" thickBot="1">
      <c r="C7" s="124" t="s">
        <v>46</v>
      </c>
      <c r="D7" s="258" t="s">
        <v>201</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A9" s="104"/>
      <c r="C9" s="130" t="s">
        <v>48</v>
      </c>
      <c r="D9" s="224" t="s">
        <v>200</v>
      </c>
      <c r="E9" s="131"/>
      <c r="F9" s="131"/>
      <c r="G9" s="131"/>
      <c r="H9" s="131"/>
      <c r="I9" s="132"/>
      <c r="J9" s="133"/>
      <c r="O9" s="134"/>
      <c r="P9" s="4"/>
      <c r="R9" s="1"/>
      <c r="S9" s="1"/>
      <c r="T9" s="1"/>
      <c r="U9" s="1"/>
    </row>
    <row r="10" spans="1:21">
      <c r="C10" s="135" t="s">
        <v>49</v>
      </c>
      <c r="D10" s="136">
        <f>11742800*94%</f>
        <v>11038232</v>
      </c>
      <c r="E10" s="63" t="s">
        <v>50</v>
      </c>
      <c r="F10" s="134"/>
      <c r="G10" s="137"/>
      <c r="H10" s="137"/>
      <c r="I10" s="138">
        <f>+OKT.WS.F.BPU.ATRR.Projected!R100</f>
        <v>2018</v>
      </c>
      <c r="J10" s="133"/>
      <c r="K10" s="112" t="s">
        <v>51</v>
      </c>
      <c r="O10" s="4"/>
      <c r="P10" s="4"/>
      <c r="R10" s="1"/>
      <c r="S10" s="1"/>
      <c r="T10" s="1"/>
      <c r="U10" s="1"/>
    </row>
    <row r="11" spans="1:21">
      <c r="C11" s="139" t="s">
        <v>52</v>
      </c>
      <c r="D11" s="140">
        <v>2011</v>
      </c>
      <c r="E11" s="139" t="s">
        <v>53</v>
      </c>
      <c r="F11" s="137"/>
      <c r="G11" s="7"/>
      <c r="H11" s="7"/>
      <c r="I11" s="141">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6</v>
      </c>
      <c r="E12" s="139" t="s">
        <v>55</v>
      </c>
      <c r="F12" s="137"/>
      <c r="G12" s="7"/>
      <c r="H12" s="7"/>
      <c r="I12" s="143">
        <f>OKT.WS.F.BPU.ATRR.Projected!$F$78</f>
        <v>0.11749102697326873</v>
      </c>
      <c r="J12" s="336"/>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270708.0251158927</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49" si="0">IF(D17=F16,"","IU")</f>
        <v>IU</v>
      </c>
      <c r="C17" s="341">
        <f>IF(D11= "","-",D11)</f>
        <v>2011</v>
      </c>
      <c r="D17" s="373">
        <v>12876000</v>
      </c>
      <c r="E17" s="374">
        <v>18562.052446566122</v>
      </c>
      <c r="F17" s="373">
        <v>12857437.947553433</v>
      </c>
      <c r="G17" s="375">
        <v>1690105.6704770608</v>
      </c>
      <c r="H17" s="376">
        <v>1690105.6704770608</v>
      </c>
      <c r="I17" s="342">
        <f t="shared" ref="I17:I49" si="1">H17-G17</f>
        <v>0</v>
      </c>
      <c r="J17" s="173"/>
      <c r="K17" s="355">
        <f t="shared" ref="K17:K22" si="2">G17</f>
        <v>1690105.6704770608</v>
      </c>
      <c r="L17" s="359">
        <f t="shared" ref="L17:L49" si="3">IF(K17&lt;&gt;0,+G17-K17,0)</f>
        <v>0</v>
      </c>
      <c r="M17" s="355">
        <f t="shared" ref="M17:M22" si="4">H17</f>
        <v>1690105.6704770608</v>
      </c>
      <c r="N17" s="357">
        <f t="shared" ref="N17:N49" si="5">IF(M17&lt;&gt;0,+H17-M17,0)</f>
        <v>0</v>
      </c>
      <c r="O17" s="361">
        <f t="shared" ref="O17:O49" si="6">+N17-L17</f>
        <v>0</v>
      </c>
      <c r="P17" s="4"/>
      <c r="R17" s="1"/>
      <c r="S17" s="1"/>
      <c r="T17" s="1"/>
      <c r="U17" s="1"/>
    </row>
    <row r="18" spans="2:21">
      <c r="B18" t="str">
        <f t="shared" si="0"/>
        <v/>
      </c>
      <c r="C18" s="155">
        <f>IF(D11="","-",+C17+1)</f>
        <v>2012</v>
      </c>
      <c r="D18" s="377">
        <v>12857437.947553433</v>
      </c>
      <c r="E18" s="375">
        <v>203958.10236185769</v>
      </c>
      <c r="F18" s="377">
        <v>12653479.845191576</v>
      </c>
      <c r="G18" s="375">
        <v>1426879.3827639234</v>
      </c>
      <c r="H18" s="376">
        <v>1426879.3827639234</v>
      </c>
      <c r="I18" s="158">
        <v>0</v>
      </c>
      <c r="J18" s="173"/>
      <c r="K18" s="355">
        <f t="shared" si="2"/>
        <v>1426879.3827639234</v>
      </c>
      <c r="L18" s="360">
        <f t="shared" si="3"/>
        <v>0</v>
      </c>
      <c r="M18" s="355">
        <f t="shared" si="4"/>
        <v>1426879.3827639234</v>
      </c>
      <c r="N18" s="357">
        <f t="shared" si="5"/>
        <v>0</v>
      </c>
      <c r="O18" s="360">
        <f t="shared" si="6"/>
        <v>0</v>
      </c>
      <c r="P18" s="4"/>
      <c r="R18" s="1"/>
      <c r="S18" s="1"/>
      <c r="T18" s="1"/>
      <c r="U18" s="1"/>
    </row>
    <row r="19" spans="2:21">
      <c r="B19" t="str">
        <f t="shared" si="0"/>
        <v>IU</v>
      </c>
      <c r="C19" s="155">
        <f>IF(D11="","-",+C18+1)</f>
        <v>2013</v>
      </c>
      <c r="D19" s="377">
        <v>11520279.845191576</v>
      </c>
      <c r="E19" s="375">
        <v>203141.16446368746</v>
      </c>
      <c r="F19" s="377">
        <v>11317138.680727888</v>
      </c>
      <c r="G19" s="375">
        <v>1439439.106345837</v>
      </c>
      <c r="H19" s="376">
        <v>1439439.106345837</v>
      </c>
      <c r="I19" s="342">
        <v>0</v>
      </c>
      <c r="J19" s="173"/>
      <c r="K19" s="355">
        <f t="shared" si="2"/>
        <v>1439439.106345837</v>
      </c>
      <c r="L19" s="360">
        <f t="shared" ref="L19:L24" si="7">IF(K19&lt;&gt;0,+G19-K19,0)</f>
        <v>0</v>
      </c>
      <c r="M19" s="355">
        <f t="shared" si="4"/>
        <v>1439439.106345837</v>
      </c>
      <c r="N19" s="357">
        <f>IF(M19&lt;&gt;0,+H19-M19,0)</f>
        <v>0</v>
      </c>
      <c r="O19" s="360">
        <f>+N19-L19</f>
        <v>0</v>
      </c>
      <c r="P19" s="4"/>
      <c r="R19" s="1"/>
      <c r="S19" s="1"/>
      <c r="T19" s="1"/>
      <c r="U19" s="1"/>
    </row>
    <row r="20" spans="2:21">
      <c r="B20" t="str">
        <f t="shared" si="0"/>
        <v/>
      </c>
      <c r="C20" s="155">
        <f>IF(D11="","-",+C19+1)</f>
        <v>2014</v>
      </c>
      <c r="D20" s="377">
        <v>11317138.680727888</v>
      </c>
      <c r="E20" s="375">
        <v>203141.16446368746</v>
      </c>
      <c r="F20" s="377">
        <v>11113997.5162642</v>
      </c>
      <c r="G20" s="375">
        <v>1425984.6077299202</v>
      </c>
      <c r="H20" s="376">
        <v>1425984.6077299202</v>
      </c>
      <c r="I20" s="158">
        <v>0</v>
      </c>
      <c r="J20" s="158"/>
      <c r="K20" s="355">
        <f t="shared" si="2"/>
        <v>1425984.6077299202</v>
      </c>
      <c r="L20" s="360">
        <f t="shared" si="7"/>
        <v>0</v>
      </c>
      <c r="M20" s="355">
        <f t="shared" si="4"/>
        <v>1425984.6077299202</v>
      </c>
      <c r="N20" s="357">
        <f>IF(M20&lt;&gt;0,+H20-M20,0)</f>
        <v>0</v>
      </c>
      <c r="O20" s="360">
        <f>+N20-L20</f>
        <v>0</v>
      </c>
      <c r="P20" s="4"/>
      <c r="R20" s="1"/>
      <c r="S20" s="1"/>
      <c r="T20" s="1"/>
      <c r="U20" s="1"/>
    </row>
    <row r="21" spans="2:21">
      <c r="B21" t="str">
        <f t="shared" si="0"/>
        <v/>
      </c>
      <c r="C21" s="155">
        <f>IF(D12="","-",+C20+1)</f>
        <v>2015</v>
      </c>
      <c r="D21" s="377">
        <v>11113997.5162642</v>
      </c>
      <c r="E21" s="375">
        <v>203141.16446368746</v>
      </c>
      <c r="F21" s="377">
        <v>10910856.351800513</v>
      </c>
      <c r="G21" s="375">
        <v>1327673.3550101635</v>
      </c>
      <c r="H21" s="376">
        <v>1327673.3550101635</v>
      </c>
      <c r="I21" s="158">
        <v>0</v>
      </c>
      <c r="J21" s="158"/>
      <c r="K21" s="355">
        <f t="shared" si="2"/>
        <v>1327673.3550101635</v>
      </c>
      <c r="L21" s="360">
        <f t="shared" si="7"/>
        <v>0</v>
      </c>
      <c r="M21" s="355">
        <f t="shared" si="4"/>
        <v>1327673.3550101635</v>
      </c>
      <c r="N21" s="357">
        <f>IF(M21&lt;&gt;0,+H21-M21,0)</f>
        <v>0</v>
      </c>
      <c r="O21" s="360">
        <f>+N21-L21</f>
        <v>0</v>
      </c>
      <c r="P21" s="4"/>
      <c r="R21" s="1"/>
      <c r="S21" s="1"/>
      <c r="T21" s="1"/>
      <c r="U21" s="1"/>
    </row>
    <row r="22" spans="2:21">
      <c r="B22" t="str">
        <f>IF(D22=F21,"","IU")</f>
        <v>IU</v>
      </c>
      <c r="C22" s="155">
        <f>IF(D11="","-",+C21+1)</f>
        <v>2016</v>
      </c>
      <c r="D22" s="377">
        <v>10206288.351800514</v>
      </c>
      <c r="E22" s="375">
        <v>229368.43576510914</v>
      </c>
      <c r="F22" s="377">
        <v>9976919.9160354044</v>
      </c>
      <c r="G22" s="375">
        <v>1305682.2485042256</v>
      </c>
      <c r="H22" s="376">
        <v>1305682.2485042256</v>
      </c>
      <c r="I22" s="158">
        <f t="shared" si="1"/>
        <v>0</v>
      </c>
      <c r="J22" s="158"/>
      <c r="K22" s="355">
        <f t="shared" si="2"/>
        <v>1305682.2485042256</v>
      </c>
      <c r="L22" s="360">
        <f t="shared" si="7"/>
        <v>0</v>
      </c>
      <c r="M22" s="355">
        <f t="shared" si="4"/>
        <v>1305682.2485042256</v>
      </c>
      <c r="N22" s="160">
        <f t="shared" si="5"/>
        <v>0</v>
      </c>
      <c r="O22" s="160">
        <f t="shared" si="6"/>
        <v>0</v>
      </c>
      <c r="P22" s="4"/>
      <c r="R22" s="1"/>
      <c r="S22" s="1"/>
      <c r="T22" s="1"/>
      <c r="U22" s="1"/>
    </row>
    <row r="23" spans="2:21">
      <c r="B23" t="str">
        <f t="shared" si="0"/>
        <v/>
      </c>
      <c r="C23" s="155">
        <f>IF(D11="","-",+C22+1)</f>
        <v>2017</v>
      </c>
      <c r="D23" s="377">
        <v>9976919.9160354044</v>
      </c>
      <c r="E23" s="375">
        <v>217033.49443183315</v>
      </c>
      <c r="F23" s="377">
        <v>9759886.4216035716</v>
      </c>
      <c r="G23" s="375">
        <v>1301965.4660054925</v>
      </c>
      <c r="H23" s="376">
        <v>1301965.4660054925</v>
      </c>
      <c r="I23" s="158">
        <f t="shared" si="1"/>
        <v>0</v>
      </c>
      <c r="J23" s="158"/>
      <c r="K23" s="355">
        <f>G23</f>
        <v>1301965.4660054925</v>
      </c>
      <c r="L23" s="360">
        <f t="shared" si="7"/>
        <v>0</v>
      </c>
      <c r="M23" s="355">
        <f>H23</f>
        <v>1301965.4660054925</v>
      </c>
      <c r="N23" s="160">
        <f>IF(M23&lt;&gt;0,+H23-M23,0)</f>
        <v>0</v>
      </c>
      <c r="O23" s="160">
        <f>+N23-L23</f>
        <v>0</v>
      </c>
      <c r="P23" s="4"/>
      <c r="R23" s="1"/>
      <c r="S23" s="1"/>
      <c r="T23" s="1"/>
      <c r="U23" s="1"/>
    </row>
    <row r="24" spans="2:21">
      <c r="B24" t="str">
        <f t="shared" si="0"/>
        <v/>
      </c>
      <c r="C24" s="155">
        <f>IF(D11="","-",+C23+1)</f>
        <v>2018</v>
      </c>
      <c r="D24" s="377">
        <v>9759886.4216035716</v>
      </c>
      <c r="E24" s="375">
        <v>270708.0251158927</v>
      </c>
      <c r="F24" s="377">
        <v>9489178.3964876793</v>
      </c>
      <c r="G24" s="375">
        <v>1401504.2219921714</v>
      </c>
      <c r="H24" s="376">
        <v>1401504.2219921714</v>
      </c>
      <c r="I24" s="158">
        <v>0</v>
      </c>
      <c r="J24" s="158"/>
      <c r="K24" s="355">
        <f>G24</f>
        <v>1401504.2219921714</v>
      </c>
      <c r="L24" s="360">
        <f t="shared" si="7"/>
        <v>0</v>
      </c>
      <c r="M24" s="355">
        <f>H24</f>
        <v>1401504.2219921714</v>
      </c>
      <c r="N24" s="160">
        <f>IF(M24&lt;&gt;0,+H24-M24,0)</f>
        <v>0</v>
      </c>
      <c r="O24" s="160">
        <f>+N24-L24</f>
        <v>0</v>
      </c>
      <c r="P24" s="4"/>
      <c r="R24" s="1"/>
      <c r="S24" s="1"/>
      <c r="T24" s="1"/>
      <c r="U24" s="1"/>
    </row>
    <row r="25" spans="2:21">
      <c r="B25" t="str">
        <f t="shared" si="0"/>
        <v/>
      </c>
      <c r="C25" s="155">
        <f>IF(D11="","-",+C24+1)</f>
        <v>2019</v>
      </c>
      <c r="D25" s="164">
        <f>IF(F24+SUM(E$17:E24)=D$10,F24,D$10-SUM(E$17:E24))</f>
        <v>9489178.3964876793</v>
      </c>
      <c r="E25" s="162">
        <f>IF(+I14&lt;F24,I14,D25)</f>
        <v>270708.0251158927</v>
      </c>
      <c r="F25" s="161">
        <f t="shared" ref="F25:F49" si="8">+D25-E25</f>
        <v>9218470.371371787</v>
      </c>
      <c r="G25" s="163">
        <f t="shared" ref="G25:G73" si="9">(D25+F25)/2*I$12+E25</f>
        <v>1369698.4581113998</v>
      </c>
      <c r="H25" s="145">
        <f t="shared" ref="H25:H73" si="10">+(D25+F25)/2*I$13+E25</f>
        <v>1369698.4581113998</v>
      </c>
      <c r="I25" s="158">
        <f t="shared" si="1"/>
        <v>0</v>
      </c>
      <c r="J25" s="158"/>
      <c r="K25" s="316"/>
      <c r="L25" s="160">
        <f t="shared" si="3"/>
        <v>0</v>
      </c>
      <c r="M25" s="316"/>
      <c r="N25" s="160">
        <f t="shared" si="5"/>
        <v>0</v>
      </c>
      <c r="O25" s="160">
        <f t="shared" si="6"/>
        <v>0</v>
      </c>
      <c r="P25" s="4"/>
      <c r="R25" s="1"/>
      <c r="S25" s="1"/>
      <c r="T25" s="1"/>
      <c r="U25" s="1"/>
    </row>
    <row r="26" spans="2:21">
      <c r="B26" t="str">
        <f t="shared" si="0"/>
        <v/>
      </c>
      <c r="C26" s="155">
        <f>IF(D11="","-",+C25+1)</f>
        <v>2020</v>
      </c>
      <c r="D26" s="164">
        <f>IF(F25+SUM(E$17:E25)=D$10,F25,D$10-SUM(E$17:E25))</f>
        <v>9218470.371371787</v>
      </c>
      <c r="E26" s="162">
        <f>IF(+I14&lt;F25,I14,D26)</f>
        <v>270708.0251158927</v>
      </c>
      <c r="F26" s="161">
        <f t="shared" si="8"/>
        <v>8947762.3462558948</v>
      </c>
      <c r="G26" s="163">
        <f t="shared" si="9"/>
        <v>1337892.6942306282</v>
      </c>
      <c r="H26" s="145">
        <f t="shared" si="10"/>
        <v>1337892.6942306282</v>
      </c>
      <c r="I26" s="158">
        <f t="shared" si="1"/>
        <v>0</v>
      </c>
      <c r="J26" s="158"/>
      <c r="K26" s="316"/>
      <c r="L26" s="160">
        <f t="shared" si="3"/>
        <v>0</v>
      </c>
      <c r="M26" s="316"/>
      <c r="N26" s="160">
        <f t="shared" si="5"/>
        <v>0</v>
      </c>
      <c r="O26" s="160">
        <f t="shared" si="6"/>
        <v>0</v>
      </c>
      <c r="P26" s="4"/>
      <c r="R26" s="1"/>
      <c r="S26" s="1"/>
      <c r="T26" s="1"/>
      <c r="U26" s="1"/>
    </row>
    <row r="27" spans="2:21">
      <c r="B27" t="str">
        <f t="shared" si="0"/>
        <v/>
      </c>
      <c r="C27" s="155">
        <f>IF(D11="","-",+C26+1)</f>
        <v>2021</v>
      </c>
      <c r="D27" s="164">
        <f>IF(F26+SUM(E$17:E26)=D$10,F26,D$10-SUM(E$17:E26))</f>
        <v>8947762.3462558948</v>
      </c>
      <c r="E27" s="162">
        <f>IF(+I14&lt;F26,I14,D27)</f>
        <v>270708.0251158927</v>
      </c>
      <c r="F27" s="161">
        <f t="shared" si="8"/>
        <v>8677054.3211400025</v>
      </c>
      <c r="G27" s="163">
        <f t="shared" si="9"/>
        <v>1306086.9303498566</v>
      </c>
      <c r="H27" s="145">
        <f t="shared" si="10"/>
        <v>1306086.9303498566</v>
      </c>
      <c r="I27" s="158">
        <f t="shared" si="1"/>
        <v>0</v>
      </c>
      <c r="J27" s="158"/>
      <c r="K27" s="316"/>
      <c r="L27" s="160">
        <f t="shared" si="3"/>
        <v>0</v>
      </c>
      <c r="M27" s="316"/>
      <c r="N27" s="160">
        <f t="shared" si="5"/>
        <v>0</v>
      </c>
      <c r="O27" s="160">
        <f t="shared" si="6"/>
        <v>0</v>
      </c>
      <c r="P27" s="4"/>
      <c r="R27" s="1"/>
      <c r="S27" s="1"/>
      <c r="T27" s="1"/>
      <c r="U27" s="1"/>
    </row>
    <row r="28" spans="2:21">
      <c r="B28" t="str">
        <f t="shared" si="0"/>
        <v/>
      </c>
      <c r="C28" s="155">
        <f>IF(D11="","-",+C27+1)</f>
        <v>2022</v>
      </c>
      <c r="D28" s="164">
        <f>IF(F27+SUM(E$17:E27)=D$10,F27,D$10-SUM(E$17:E27))</f>
        <v>8677054.3211400025</v>
      </c>
      <c r="E28" s="162">
        <f>IF(+I14&lt;F27,I14,D28)</f>
        <v>270708.0251158927</v>
      </c>
      <c r="F28" s="161">
        <f t="shared" si="8"/>
        <v>8406346.2960241102</v>
      </c>
      <c r="G28" s="163">
        <f t="shared" si="9"/>
        <v>1274281.1664690848</v>
      </c>
      <c r="H28" s="145">
        <f t="shared" si="10"/>
        <v>1274281.1664690848</v>
      </c>
      <c r="I28" s="158">
        <f t="shared" si="1"/>
        <v>0</v>
      </c>
      <c r="J28" s="158"/>
      <c r="K28" s="316"/>
      <c r="L28" s="160">
        <f t="shared" si="3"/>
        <v>0</v>
      </c>
      <c r="M28" s="316"/>
      <c r="N28" s="160">
        <f t="shared" si="5"/>
        <v>0</v>
      </c>
      <c r="O28" s="160">
        <f t="shared" si="6"/>
        <v>0</v>
      </c>
      <c r="P28" s="4"/>
      <c r="R28" s="1"/>
      <c r="S28" s="1"/>
      <c r="T28" s="1"/>
      <c r="U28" s="1"/>
    </row>
    <row r="29" spans="2:21">
      <c r="B29" t="str">
        <f t="shared" si="0"/>
        <v/>
      </c>
      <c r="C29" s="155">
        <f>IF(D11="","-",+C28+1)</f>
        <v>2023</v>
      </c>
      <c r="D29" s="164">
        <f>IF(F28+SUM(E$17:E28)=D$10,F28,D$10-SUM(E$17:E28))</f>
        <v>8406346.2960241102</v>
      </c>
      <c r="E29" s="162">
        <f>IF(+I14&lt;F28,I14,D29)</f>
        <v>270708.0251158927</v>
      </c>
      <c r="F29" s="161">
        <f t="shared" si="8"/>
        <v>8135638.2709082179</v>
      </c>
      <c r="G29" s="163">
        <f t="shared" si="9"/>
        <v>1242475.4025883132</v>
      </c>
      <c r="H29" s="145">
        <f t="shared" si="10"/>
        <v>1242475.4025883132</v>
      </c>
      <c r="I29" s="158">
        <f t="shared" si="1"/>
        <v>0</v>
      </c>
      <c r="J29" s="158"/>
      <c r="K29" s="316"/>
      <c r="L29" s="160">
        <f t="shared" si="3"/>
        <v>0</v>
      </c>
      <c r="M29" s="316"/>
      <c r="N29" s="160">
        <f t="shared" si="5"/>
        <v>0</v>
      </c>
      <c r="O29" s="160">
        <f t="shared" si="6"/>
        <v>0</v>
      </c>
      <c r="P29" s="4"/>
      <c r="R29" s="1"/>
      <c r="S29" s="1"/>
      <c r="T29" s="1"/>
      <c r="U29" s="1"/>
    </row>
    <row r="30" spans="2:21">
      <c r="B30" t="str">
        <f t="shared" si="0"/>
        <v/>
      </c>
      <c r="C30" s="155">
        <f>IF(D11="","-",+C29+1)</f>
        <v>2024</v>
      </c>
      <c r="D30" s="164">
        <f>IF(F29+SUM(E$17:E29)=D$10,F29,D$10-SUM(E$17:E29))</f>
        <v>8135638.2709082179</v>
      </c>
      <c r="E30" s="162">
        <f>IF(+I14&lt;F29,I14,D30)</f>
        <v>270708.0251158927</v>
      </c>
      <c r="F30" s="161">
        <f t="shared" si="8"/>
        <v>7864930.2457923256</v>
      </c>
      <c r="G30" s="163">
        <f t="shared" si="9"/>
        <v>1210669.6387075416</v>
      </c>
      <c r="H30" s="145">
        <f t="shared" si="10"/>
        <v>1210669.6387075416</v>
      </c>
      <c r="I30" s="158">
        <f t="shared" si="1"/>
        <v>0</v>
      </c>
      <c r="J30" s="158"/>
      <c r="K30" s="316"/>
      <c r="L30" s="160">
        <f t="shared" si="3"/>
        <v>0</v>
      </c>
      <c r="M30" s="316"/>
      <c r="N30" s="160">
        <f t="shared" si="5"/>
        <v>0</v>
      </c>
      <c r="O30" s="160">
        <f t="shared" si="6"/>
        <v>0</v>
      </c>
      <c r="P30" s="4"/>
      <c r="R30" s="1"/>
      <c r="S30" s="1"/>
      <c r="T30" s="1"/>
      <c r="U30" s="1"/>
    </row>
    <row r="31" spans="2:21">
      <c r="B31" t="str">
        <f t="shared" si="0"/>
        <v/>
      </c>
      <c r="C31" s="155">
        <f>IF(D11="","-",+C30+1)</f>
        <v>2025</v>
      </c>
      <c r="D31" s="164">
        <f>IF(F30+SUM(E$17:E30)=D$10,F30,D$10-SUM(E$17:E30))</f>
        <v>7864930.2457923256</v>
      </c>
      <c r="E31" s="438">
        <f>IF(+I14&lt;F30,I14,D31)</f>
        <v>270708.0251158927</v>
      </c>
      <c r="F31" s="161">
        <f>+D31-E31</f>
        <v>7594222.2206764333</v>
      </c>
      <c r="G31" s="163">
        <f t="shared" si="9"/>
        <v>1178863.87482677</v>
      </c>
      <c r="H31" s="145">
        <f t="shared" si="10"/>
        <v>1178863.87482677</v>
      </c>
      <c r="I31" s="158">
        <f>H31-G31</f>
        <v>0</v>
      </c>
      <c r="J31" s="158"/>
      <c r="K31" s="316"/>
      <c r="L31" s="160">
        <f>IF(K31&lt;&gt;0,+G31-K31,0)</f>
        <v>0</v>
      </c>
      <c r="M31" s="316"/>
      <c r="N31" s="160">
        <f>IF(M31&lt;&gt;0,+H31-M31,0)</f>
        <v>0</v>
      </c>
      <c r="O31" s="160">
        <f>+N31-L31</f>
        <v>0</v>
      </c>
      <c r="P31" s="4"/>
      <c r="Q31" s="7"/>
      <c r="R31" s="4"/>
      <c r="S31" s="4"/>
      <c r="T31" s="4"/>
      <c r="U31" s="1"/>
    </row>
    <row r="32" spans="2:21">
      <c r="B32" t="str">
        <f t="shared" si="0"/>
        <v/>
      </c>
      <c r="C32" s="155">
        <f>IF(D12="","-",+C31+1)</f>
        <v>2026</v>
      </c>
      <c r="D32" s="164">
        <f>IF(F31+SUM(E$17:E31)=D$10,F31,D$10-SUM(E$17:E31))</f>
        <v>7594222.2206764333</v>
      </c>
      <c r="E32" s="438">
        <f>IF(+I14&lt;F31,I14,D32)</f>
        <v>270708.0251158927</v>
      </c>
      <c r="F32" s="161">
        <f>+D32-E32</f>
        <v>7323514.195560541</v>
      </c>
      <c r="G32" s="163">
        <f t="shared" si="9"/>
        <v>1147058.1109459985</v>
      </c>
      <c r="H32" s="145">
        <f t="shared" si="10"/>
        <v>1147058.1109459985</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2027</v>
      </c>
      <c r="D33" s="164">
        <f>IF(F32+SUM(E$17:E32)=D$10,F32,D$10-SUM(E$17:E32))</f>
        <v>7323514.195560541</v>
      </c>
      <c r="E33" s="162">
        <f>IF(+I14&lt;F31,I14,D33)</f>
        <v>270708.0251158927</v>
      </c>
      <c r="F33" s="161">
        <f>+D33-E33</f>
        <v>7052806.1704446487</v>
      </c>
      <c r="G33" s="163">
        <f t="shared" si="9"/>
        <v>1115252.3470652269</v>
      </c>
      <c r="H33" s="145">
        <f t="shared" si="10"/>
        <v>1115252.3470652269</v>
      </c>
      <c r="I33" s="158">
        <f>H33-G33</f>
        <v>0</v>
      </c>
      <c r="J33" s="158"/>
      <c r="K33" s="316"/>
      <c r="L33" s="160">
        <f>IF(K33&lt;&gt;0,+G33-K33,0)</f>
        <v>0</v>
      </c>
      <c r="M33" s="316"/>
      <c r="N33" s="160">
        <f>IF(M33&lt;&gt;0,+H33-M33,0)</f>
        <v>0</v>
      </c>
      <c r="O33" s="160">
        <f>+N33-L33</f>
        <v>0</v>
      </c>
      <c r="P33" s="4"/>
      <c r="R33" s="1"/>
      <c r="S33" s="1"/>
      <c r="T33" s="1"/>
      <c r="U33" s="1"/>
    </row>
    <row r="34" spans="2:21">
      <c r="B34" t="str">
        <f t="shared" si="0"/>
        <v/>
      </c>
      <c r="C34" s="422">
        <f>IF(D11="","-",+C33+1)</f>
        <v>2028</v>
      </c>
      <c r="D34" s="431">
        <f>IF(F33+SUM(E$17:E33)=D$10,F33,D$10-SUM(E$17:E33))</f>
        <v>7052806.1704446487</v>
      </c>
      <c r="E34" s="424">
        <f>IF(+I14&lt;F33,I14,D34)</f>
        <v>270708.0251158927</v>
      </c>
      <c r="F34" s="423">
        <f t="shared" si="8"/>
        <v>6782098.1453287564</v>
      </c>
      <c r="G34" s="425">
        <f t="shared" si="9"/>
        <v>1083446.5831844553</v>
      </c>
      <c r="H34" s="426">
        <f t="shared" si="10"/>
        <v>1083446.5831844553</v>
      </c>
      <c r="I34" s="427">
        <f t="shared" si="1"/>
        <v>0</v>
      </c>
      <c r="J34" s="427"/>
      <c r="K34" s="428"/>
      <c r="L34" s="429">
        <f t="shared" si="3"/>
        <v>0</v>
      </c>
      <c r="M34" s="428"/>
      <c r="N34" s="429">
        <f t="shared" si="5"/>
        <v>0</v>
      </c>
      <c r="O34" s="429">
        <f t="shared" si="6"/>
        <v>0</v>
      </c>
      <c r="P34" s="430"/>
      <c r="Q34" s="290"/>
      <c r="R34" s="430"/>
      <c r="S34" s="430"/>
      <c r="T34" s="430"/>
      <c r="U34" s="1"/>
    </row>
    <row r="35" spans="2:21">
      <c r="B35" t="str">
        <f t="shared" si="0"/>
        <v/>
      </c>
      <c r="C35" s="155">
        <f>IF(D11="","-",+C34+1)</f>
        <v>2029</v>
      </c>
      <c r="D35" s="164">
        <f>IF(F34+SUM(E$17:E34)=D$10,F34,D$10-SUM(E$17:E34))</f>
        <v>6782098.1453287564</v>
      </c>
      <c r="E35" s="162">
        <f>IF(+I14&lt;F34,I14,D35)</f>
        <v>270708.0251158927</v>
      </c>
      <c r="F35" s="161">
        <f t="shared" si="8"/>
        <v>6511390.1202128641</v>
      </c>
      <c r="G35" s="163">
        <f t="shared" si="9"/>
        <v>1051640.8193036837</v>
      </c>
      <c r="H35" s="145">
        <f t="shared" si="10"/>
        <v>1051640.8193036837</v>
      </c>
      <c r="I35" s="158">
        <f t="shared" si="1"/>
        <v>0</v>
      </c>
      <c r="J35" s="158"/>
      <c r="K35" s="316"/>
      <c r="L35" s="160">
        <f t="shared" si="3"/>
        <v>0</v>
      </c>
      <c r="M35" s="316"/>
      <c r="N35" s="160">
        <f t="shared" si="5"/>
        <v>0</v>
      </c>
      <c r="O35" s="160">
        <f t="shared" si="6"/>
        <v>0</v>
      </c>
      <c r="P35" s="4"/>
      <c r="R35" s="1"/>
      <c r="S35" s="1"/>
      <c r="T35" s="1"/>
      <c r="U35" s="1"/>
    </row>
    <row r="36" spans="2:21">
      <c r="B36" t="str">
        <f t="shared" si="0"/>
        <v/>
      </c>
      <c r="C36" s="155">
        <f>IF(D11="","-",+C35+1)</f>
        <v>2030</v>
      </c>
      <c r="D36" s="164">
        <f>IF(F35+SUM(E$17:E35)=D$10,F35,D$10-SUM(E$17:E35))</f>
        <v>6511390.1202128641</v>
      </c>
      <c r="E36" s="162">
        <f>IF(+I14&lt;F35,I14,D36)</f>
        <v>270708.0251158927</v>
      </c>
      <c r="F36" s="161">
        <f t="shared" si="8"/>
        <v>6240682.0950969718</v>
      </c>
      <c r="G36" s="163">
        <f t="shared" si="9"/>
        <v>1019835.0554229121</v>
      </c>
      <c r="H36" s="145">
        <f t="shared" si="10"/>
        <v>1019835.0554229121</v>
      </c>
      <c r="I36" s="158">
        <f t="shared" si="1"/>
        <v>0</v>
      </c>
      <c r="J36" s="158"/>
      <c r="K36" s="316"/>
      <c r="L36" s="160">
        <f t="shared" si="3"/>
        <v>0</v>
      </c>
      <c r="M36" s="316"/>
      <c r="N36" s="160">
        <f t="shared" si="5"/>
        <v>0</v>
      </c>
      <c r="O36" s="160">
        <f t="shared" si="6"/>
        <v>0</v>
      </c>
      <c r="P36" s="4"/>
      <c r="R36" s="1"/>
      <c r="S36" s="1"/>
      <c r="T36" s="1"/>
      <c r="U36" s="1"/>
    </row>
    <row r="37" spans="2:21">
      <c r="B37" t="str">
        <f t="shared" si="0"/>
        <v/>
      </c>
      <c r="C37" s="155">
        <f>IF(D11="","-",+C36+1)</f>
        <v>2031</v>
      </c>
      <c r="D37" s="164">
        <f>IF(F36+SUM(E$17:E36)=D$10,F36,D$10-SUM(E$17:E36))</f>
        <v>6240682.0950969718</v>
      </c>
      <c r="E37" s="162">
        <f>IF(+I14&lt;F36,I14,D37)</f>
        <v>270708.0251158927</v>
      </c>
      <c r="F37" s="161">
        <f t="shared" si="8"/>
        <v>5969974.0699810795</v>
      </c>
      <c r="G37" s="163">
        <f t="shared" si="9"/>
        <v>988029.2915421403</v>
      </c>
      <c r="H37" s="145">
        <f t="shared" si="10"/>
        <v>988029.2915421403</v>
      </c>
      <c r="I37" s="158">
        <f t="shared" si="1"/>
        <v>0</v>
      </c>
      <c r="J37" s="158"/>
      <c r="K37" s="316"/>
      <c r="L37" s="160">
        <f t="shared" si="3"/>
        <v>0</v>
      </c>
      <c r="M37" s="316"/>
      <c r="N37" s="160">
        <f t="shared" si="5"/>
        <v>0</v>
      </c>
      <c r="O37" s="160">
        <f t="shared" si="6"/>
        <v>0</v>
      </c>
      <c r="P37" s="4"/>
      <c r="R37" s="1"/>
      <c r="S37" s="1"/>
      <c r="T37" s="1"/>
      <c r="U37" s="1"/>
    </row>
    <row r="38" spans="2:21">
      <c r="B38" t="str">
        <f t="shared" si="0"/>
        <v/>
      </c>
      <c r="C38" s="155">
        <f>IF(D11="","-",+C37+1)</f>
        <v>2032</v>
      </c>
      <c r="D38" s="164">
        <f>IF(F37+SUM(E$17:E37)=D$10,F37,D$10-SUM(E$17:E37))</f>
        <v>5969974.0699810795</v>
      </c>
      <c r="E38" s="162">
        <f>IF(+I14&lt;F37,I14,D38)</f>
        <v>270708.0251158927</v>
      </c>
      <c r="F38" s="161">
        <f t="shared" si="8"/>
        <v>5699266.0448651873</v>
      </c>
      <c r="G38" s="163">
        <f t="shared" si="9"/>
        <v>956223.52766136872</v>
      </c>
      <c r="H38" s="145">
        <f t="shared" si="10"/>
        <v>956223.52766136872</v>
      </c>
      <c r="I38" s="158">
        <f t="shared" si="1"/>
        <v>0</v>
      </c>
      <c r="J38" s="158"/>
      <c r="K38" s="316"/>
      <c r="L38" s="160">
        <f t="shared" si="3"/>
        <v>0</v>
      </c>
      <c r="M38" s="316"/>
      <c r="N38" s="160">
        <f t="shared" si="5"/>
        <v>0</v>
      </c>
      <c r="O38" s="160">
        <f t="shared" si="6"/>
        <v>0</v>
      </c>
      <c r="P38" s="4"/>
      <c r="R38" s="1"/>
      <c r="S38" s="1"/>
      <c r="T38" s="1"/>
      <c r="U38" s="1"/>
    </row>
    <row r="39" spans="2:21">
      <c r="B39" t="str">
        <f t="shared" si="0"/>
        <v/>
      </c>
      <c r="C39" s="155">
        <f>IF(D11="","-",+C38+1)</f>
        <v>2033</v>
      </c>
      <c r="D39" s="164">
        <f>IF(F38+SUM(E$17:E38)=D$10,F38,D$10-SUM(E$17:E38))</f>
        <v>5699266.0448651873</v>
      </c>
      <c r="E39" s="162">
        <f>IF(+I14&lt;F38,I14,D39)</f>
        <v>270708.0251158927</v>
      </c>
      <c r="F39" s="161">
        <f t="shared" si="8"/>
        <v>5428558.019749295</v>
      </c>
      <c r="G39" s="163">
        <f t="shared" si="9"/>
        <v>924417.76378059713</v>
      </c>
      <c r="H39" s="145">
        <f t="shared" si="10"/>
        <v>924417.76378059713</v>
      </c>
      <c r="I39" s="158">
        <f t="shared" si="1"/>
        <v>0</v>
      </c>
      <c r="J39" s="158"/>
      <c r="K39" s="316"/>
      <c r="L39" s="160">
        <f t="shared" si="3"/>
        <v>0</v>
      </c>
      <c r="M39" s="316"/>
      <c r="N39" s="160">
        <f t="shared" si="5"/>
        <v>0</v>
      </c>
      <c r="O39" s="160">
        <f t="shared" si="6"/>
        <v>0</v>
      </c>
      <c r="P39" s="4"/>
      <c r="R39" s="1"/>
      <c r="S39" s="1"/>
      <c r="T39" s="1"/>
      <c r="U39" s="1"/>
    </row>
    <row r="40" spans="2:21">
      <c r="B40" t="str">
        <f t="shared" si="0"/>
        <v/>
      </c>
      <c r="C40" s="155">
        <f>IF(D11="","-",+C39+1)</f>
        <v>2034</v>
      </c>
      <c r="D40" s="164">
        <f>IF(F39+SUM(E$17:E39)=D$10,F39,D$10-SUM(E$17:E39))</f>
        <v>5428558.019749295</v>
      </c>
      <c r="E40" s="162">
        <f>IF(+I14&lt;F39,I14,D40)</f>
        <v>270708.0251158927</v>
      </c>
      <c r="F40" s="161">
        <f t="shared" si="8"/>
        <v>5157849.9946334027</v>
      </c>
      <c r="G40" s="163">
        <f t="shared" si="9"/>
        <v>892611.99989982555</v>
      </c>
      <c r="H40" s="145">
        <f t="shared" si="10"/>
        <v>892611.99989982555</v>
      </c>
      <c r="I40" s="158">
        <f t="shared" si="1"/>
        <v>0</v>
      </c>
      <c r="J40" s="158"/>
      <c r="K40" s="316"/>
      <c r="L40" s="160">
        <f t="shared" si="3"/>
        <v>0</v>
      </c>
      <c r="M40" s="316"/>
      <c r="N40" s="160">
        <f t="shared" si="5"/>
        <v>0</v>
      </c>
      <c r="O40" s="160">
        <f t="shared" si="6"/>
        <v>0</v>
      </c>
      <c r="P40" s="4"/>
      <c r="R40" s="1"/>
      <c r="S40" s="1"/>
      <c r="T40" s="1"/>
      <c r="U40" s="1"/>
    </row>
    <row r="41" spans="2:21">
      <c r="B41" t="str">
        <f t="shared" si="0"/>
        <v/>
      </c>
      <c r="C41" s="155">
        <f>IF(D12="","-",+C40+1)</f>
        <v>2035</v>
      </c>
      <c r="D41" s="164">
        <f>IF(F40+SUM(E$17:E40)=D$10,F40,D$10-SUM(E$17:E40))</f>
        <v>5157849.9946334027</v>
      </c>
      <c r="E41" s="162">
        <f>IF(+I14&lt;F40,I14,D41)</f>
        <v>270708.0251158927</v>
      </c>
      <c r="F41" s="161">
        <f t="shared" si="8"/>
        <v>4887141.9695175104</v>
      </c>
      <c r="G41" s="163">
        <f t="shared" si="9"/>
        <v>860806.23601905396</v>
      </c>
      <c r="H41" s="145">
        <f t="shared" si="10"/>
        <v>860806.23601905396</v>
      </c>
      <c r="I41" s="158">
        <f t="shared" si="1"/>
        <v>0</v>
      </c>
      <c r="J41" s="158"/>
      <c r="K41" s="316"/>
      <c r="L41" s="160">
        <f t="shared" si="3"/>
        <v>0</v>
      </c>
      <c r="M41" s="316"/>
      <c r="N41" s="160">
        <f t="shared" si="5"/>
        <v>0</v>
      </c>
      <c r="O41" s="160">
        <f t="shared" si="6"/>
        <v>0</v>
      </c>
      <c r="P41" s="4"/>
      <c r="R41" s="1"/>
      <c r="S41" s="1"/>
      <c r="T41" s="1"/>
      <c r="U41" s="1"/>
    </row>
    <row r="42" spans="2:21">
      <c r="B42" t="str">
        <f t="shared" si="0"/>
        <v/>
      </c>
      <c r="C42" s="155">
        <f>IF(D13="","-",+C41+1)</f>
        <v>2036</v>
      </c>
      <c r="D42" s="164">
        <f>IF(F41+SUM(E$17:E41)=D$10,F41,D$10-SUM(E$17:E41))</f>
        <v>4887141.9695175104</v>
      </c>
      <c r="E42" s="162">
        <f>IF(+I14&lt;F41,I14,D42)</f>
        <v>270708.0251158927</v>
      </c>
      <c r="F42" s="161">
        <f t="shared" si="8"/>
        <v>4616433.9444016181</v>
      </c>
      <c r="G42" s="163">
        <f t="shared" si="9"/>
        <v>829000.47213828238</v>
      </c>
      <c r="H42" s="145">
        <f t="shared" si="10"/>
        <v>829000.47213828238</v>
      </c>
      <c r="I42" s="158">
        <f t="shared" si="1"/>
        <v>0</v>
      </c>
      <c r="J42" s="158"/>
      <c r="K42" s="316"/>
      <c r="L42" s="160">
        <f t="shared" si="3"/>
        <v>0</v>
      </c>
      <c r="M42" s="316"/>
      <c r="N42" s="160">
        <f t="shared" si="5"/>
        <v>0</v>
      </c>
      <c r="O42" s="160">
        <f t="shared" si="6"/>
        <v>0</v>
      </c>
      <c r="P42" s="4"/>
      <c r="R42" s="1"/>
      <c r="S42" s="1"/>
      <c r="T42" s="1"/>
      <c r="U42" s="1"/>
    </row>
    <row r="43" spans="2:21">
      <c r="B43" t="str">
        <f t="shared" si="0"/>
        <v/>
      </c>
      <c r="C43" s="155">
        <f>IF(D14="","-",+C42+1)</f>
        <v>2037</v>
      </c>
      <c r="D43" s="164">
        <f>IF(F42+SUM(E$17:E42)=D$10,F42,D$10-SUM(E$17:E42))</f>
        <v>4616433.9444016181</v>
      </c>
      <c r="E43" s="162">
        <f>IF(+I14&lt;F42,I14,D43)</f>
        <v>270708.0251158927</v>
      </c>
      <c r="F43" s="161">
        <f t="shared" si="8"/>
        <v>4345725.9192857258</v>
      </c>
      <c r="G43" s="163">
        <f t="shared" si="9"/>
        <v>797194.70825751079</v>
      </c>
      <c r="H43" s="145">
        <f t="shared" si="10"/>
        <v>797194.70825751079</v>
      </c>
      <c r="I43" s="158">
        <f t="shared" si="1"/>
        <v>0</v>
      </c>
      <c r="J43" s="158"/>
      <c r="K43" s="316"/>
      <c r="L43" s="160">
        <f t="shared" si="3"/>
        <v>0</v>
      </c>
      <c r="M43" s="316"/>
      <c r="N43" s="160">
        <f t="shared" si="5"/>
        <v>0</v>
      </c>
      <c r="O43" s="160">
        <f t="shared" si="6"/>
        <v>0</v>
      </c>
      <c r="P43" s="4"/>
      <c r="R43" s="1"/>
      <c r="S43" s="1"/>
      <c r="T43" s="1"/>
      <c r="U43" s="1"/>
    </row>
    <row r="44" spans="2:21">
      <c r="B44" t="str">
        <f t="shared" si="0"/>
        <v/>
      </c>
      <c r="C44" s="155">
        <f>IF(D11="","-",+C43+1)</f>
        <v>2038</v>
      </c>
      <c r="D44" s="164">
        <f>IF(F43+SUM(E$17:E43)=D$10,F43,D$10-SUM(E$17:E43))</f>
        <v>4345725.9192857258</v>
      </c>
      <c r="E44" s="162">
        <f>IF(+I14&lt;F43,I14,D44)</f>
        <v>270708.0251158927</v>
      </c>
      <c r="F44" s="161">
        <f t="shared" si="8"/>
        <v>4075017.894169833</v>
      </c>
      <c r="G44" s="163">
        <f t="shared" si="9"/>
        <v>765388.94437673921</v>
      </c>
      <c r="H44" s="145">
        <f t="shared" si="10"/>
        <v>765388.94437673921</v>
      </c>
      <c r="I44" s="158">
        <f t="shared" si="1"/>
        <v>0</v>
      </c>
      <c r="J44" s="158"/>
      <c r="K44" s="316"/>
      <c r="L44" s="160">
        <f t="shared" si="3"/>
        <v>0</v>
      </c>
      <c r="M44" s="316"/>
      <c r="N44" s="160">
        <f t="shared" si="5"/>
        <v>0</v>
      </c>
      <c r="O44" s="160">
        <f t="shared" si="6"/>
        <v>0</v>
      </c>
      <c r="P44" s="4"/>
      <c r="R44" s="1"/>
      <c r="S44" s="1"/>
      <c r="T44" s="1"/>
      <c r="U44" s="1"/>
    </row>
    <row r="45" spans="2:21">
      <c r="B45" t="str">
        <f t="shared" si="0"/>
        <v/>
      </c>
      <c r="C45" s="155">
        <f>IF(D11="","-",+C44+1)</f>
        <v>2039</v>
      </c>
      <c r="D45" s="164">
        <f>IF(F44+SUM(E$17:E44)=D$10,F44,D$10-SUM(E$17:E44))</f>
        <v>4075017.894169833</v>
      </c>
      <c r="E45" s="162">
        <f>IF(+I14&lt;F44,I14,D45)</f>
        <v>270708.0251158927</v>
      </c>
      <c r="F45" s="161">
        <f t="shared" si="8"/>
        <v>3804309.8690539403</v>
      </c>
      <c r="G45" s="163">
        <f t="shared" si="9"/>
        <v>733583.18049596739</v>
      </c>
      <c r="H45" s="145">
        <f t="shared" si="10"/>
        <v>733583.18049596739</v>
      </c>
      <c r="I45" s="158">
        <f t="shared" si="1"/>
        <v>0</v>
      </c>
      <c r="J45" s="158"/>
      <c r="K45" s="316"/>
      <c r="L45" s="160">
        <f t="shared" si="3"/>
        <v>0</v>
      </c>
      <c r="M45" s="316"/>
      <c r="N45" s="160">
        <f t="shared" si="5"/>
        <v>0</v>
      </c>
      <c r="O45" s="160">
        <f t="shared" si="6"/>
        <v>0</v>
      </c>
      <c r="P45" s="4"/>
      <c r="R45" s="1"/>
      <c r="S45" s="1"/>
      <c r="T45" s="1"/>
      <c r="U45" s="1"/>
    </row>
    <row r="46" spans="2:21">
      <c r="B46" t="str">
        <f t="shared" si="0"/>
        <v/>
      </c>
      <c r="C46" s="155">
        <f>IF(D11="","-",+C45+1)</f>
        <v>2040</v>
      </c>
      <c r="D46" s="164">
        <f>IF(F45+SUM(E$17:E45)=D$10,F45,D$10-SUM(E$17:E45))</f>
        <v>3804309.8690539403</v>
      </c>
      <c r="E46" s="162">
        <f>IF(+I14&lt;F45,I14,D46)</f>
        <v>270708.0251158927</v>
      </c>
      <c r="F46" s="161">
        <f t="shared" si="8"/>
        <v>3533601.8439380475</v>
      </c>
      <c r="G46" s="163">
        <f t="shared" si="9"/>
        <v>701777.41661519581</v>
      </c>
      <c r="H46" s="145">
        <f t="shared" si="10"/>
        <v>701777.41661519581</v>
      </c>
      <c r="I46" s="158">
        <f t="shared" si="1"/>
        <v>0</v>
      </c>
      <c r="J46" s="158"/>
      <c r="K46" s="316"/>
      <c r="L46" s="160">
        <f t="shared" si="3"/>
        <v>0</v>
      </c>
      <c r="M46" s="316"/>
      <c r="N46" s="160">
        <f t="shared" si="5"/>
        <v>0</v>
      </c>
      <c r="O46" s="160">
        <f t="shared" si="6"/>
        <v>0</v>
      </c>
      <c r="P46" s="4"/>
      <c r="R46" s="1"/>
      <c r="S46" s="1"/>
      <c r="T46" s="1"/>
      <c r="U46" s="1"/>
    </row>
    <row r="47" spans="2:21">
      <c r="B47" t="str">
        <f t="shared" si="0"/>
        <v/>
      </c>
      <c r="C47" s="155">
        <f>IF(D11="","-",+C46+1)</f>
        <v>2041</v>
      </c>
      <c r="D47" s="164">
        <f>IF(F46+SUM(E$17:E46)=D$10,F46,D$10-SUM(E$17:E46))</f>
        <v>3533601.8439380475</v>
      </c>
      <c r="E47" s="162">
        <f>IF(+I14&lt;F46,I14,D47)</f>
        <v>270708.0251158927</v>
      </c>
      <c r="F47" s="161">
        <f t="shared" si="8"/>
        <v>3262893.8188221548</v>
      </c>
      <c r="G47" s="163">
        <f t="shared" si="9"/>
        <v>669971.6527344241</v>
      </c>
      <c r="H47" s="145">
        <f t="shared" si="10"/>
        <v>669971.6527344241</v>
      </c>
      <c r="I47" s="158">
        <f t="shared" si="1"/>
        <v>0</v>
      </c>
      <c r="J47" s="158"/>
      <c r="K47" s="316"/>
      <c r="L47" s="160">
        <f t="shared" si="3"/>
        <v>0</v>
      </c>
      <c r="M47" s="316"/>
      <c r="N47" s="160">
        <f t="shared" si="5"/>
        <v>0</v>
      </c>
      <c r="O47" s="160">
        <f t="shared" si="6"/>
        <v>0</v>
      </c>
      <c r="P47" s="4"/>
      <c r="R47" s="1"/>
      <c r="S47" s="1"/>
      <c r="T47" s="1"/>
      <c r="U47" s="1"/>
    </row>
    <row r="48" spans="2:21">
      <c r="B48" t="str">
        <f t="shared" si="0"/>
        <v/>
      </c>
      <c r="C48" s="155">
        <f>IF(D11="","-",+C47+1)</f>
        <v>2042</v>
      </c>
      <c r="D48" s="164">
        <f>IF(F47+SUM(E$17:E47)=D$10,F47,D$10-SUM(E$17:E47))</f>
        <v>3262893.8188221548</v>
      </c>
      <c r="E48" s="162">
        <f>IF(+I14&lt;F47,I14,D48)</f>
        <v>270708.0251158927</v>
      </c>
      <c r="F48" s="161">
        <f t="shared" si="8"/>
        <v>2992185.793706262</v>
      </c>
      <c r="G48" s="163">
        <f t="shared" si="9"/>
        <v>638165.8888536524</v>
      </c>
      <c r="H48" s="145">
        <f t="shared" si="10"/>
        <v>638165.8888536524</v>
      </c>
      <c r="I48" s="158">
        <f t="shared" si="1"/>
        <v>0</v>
      </c>
      <c r="J48" s="158"/>
      <c r="K48" s="316"/>
      <c r="L48" s="160">
        <f t="shared" si="3"/>
        <v>0</v>
      </c>
      <c r="M48" s="316"/>
      <c r="N48" s="160">
        <f t="shared" si="5"/>
        <v>0</v>
      </c>
      <c r="O48" s="160">
        <f t="shared" si="6"/>
        <v>0</v>
      </c>
      <c r="P48" s="4"/>
      <c r="R48" s="1"/>
      <c r="S48" s="1"/>
      <c r="T48" s="1"/>
      <c r="U48" s="1"/>
    </row>
    <row r="49" spans="2:21">
      <c r="B49" t="str">
        <f t="shared" si="0"/>
        <v/>
      </c>
      <c r="C49" s="155">
        <f>IF(D11="","-",+C48+1)</f>
        <v>2043</v>
      </c>
      <c r="D49" s="164">
        <f>IF(F48+SUM(E$17:E48)=D$10,F48,D$10-SUM(E$17:E48))</f>
        <v>2992185.793706262</v>
      </c>
      <c r="E49" s="162">
        <f>IF(+I14&lt;F48,I14,D49)</f>
        <v>270708.0251158927</v>
      </c>
      <c r="F49" s="161">
        <f t="shared" si="8"/>
        <v>2721477.7685903693</v>
      </c>
      <c r="G49" s="163">
        <f t="shared" si="9"/>
        <v>606360.12497288082</v>
      </c>
      <c r="H49" s="145">
        <f t="shared" si="10"/>
        <v>606360.12497288082</v>
      </c>
      <c r="I49" s="158">
        <f t="shared" si="1"/>
        <v>0</v>
      </c>
      <c r="J49" s="158"/>
      <c r="K49" s="316"/>
      <c r="L49" s="160">
        <f t="shared" si="3"/>
        <v>0</v>
      </c>
      <c r="M49" s="316"/>
      <c r="N49" s="160">
        <f t="shared" si="5"/>
        <v>0</v>
      </c>
      <c r="O49" s="160">
        <f t="shared" si="6"/>
        <v>0</v>
      </c>
      <c r="P49" s="4"/>
      <c r="R49" s="1"/>
      <c r="S49" s="1"/>
      <c r="T49" s="1"/>
      <c r="U49" s="1"/>
    </row>
    <row r="50" spans="2:21">
      <c r="B50" t="str">
        <f t="shared" ref="B50:B73" si="11">IF(D50=F49,"","IU")</f>
        <v/>
      </c>
      <c r="C50" s="155">
        <f>IF(D11="","-",+C49+1)</f>
        <v>2044</v>
      </c>
      <c r="D50" s="164">
        <f>IF(F49+SUM(E$17:E49)=D$10,F49,D$10-SUM(E$17:E49))</f>
        <v>2721477.7685903693</v>
      </c>
      <c r="E50" s="162">
        <f>IF(+I14&lt;F49,I14,D50)</f>
        <v>270708.0251158927</v>
      </c>
      <c r="F50" s="161">
        <f t="shared" ref="F50:F73" si="12">+D50-E50</f>
        <v>2450769.7434744765</v>
      </c>
      <c r="G50" s="163">
        <f t="shared" si="9"/>
        <v>574554.36109210923</v>
      </c>
      <c r="H50" s="145">
        <f t="shared" si="10"/>
        <v>574554.36109210923</v>
      </c>
      <c r="I50" s="158">
        <f t="shared" ref="I50:I73" si="13">H50-G50</f>
        <v>0</v>
      </c>
      <c r="J50" s="158"/>
      <c r="K50" s="316"/>
      <c r="L50" s="160">
        <f t="shared" ref="L50:L73" si="14">IF(K50&lt;&gt;0,+G50-K50,0)</f>
        <v>0</v>
      </c>
      <c r="M50" s="316"/>
      <c r="N50" s="160">
        <f t="shared" ref="N50:N73" si="15">IF(M50&lt;&gt;0,+H50-M50,0)</f>
        <v>0</v>
      </c>
      <c r="O50" s="160">
        <f t="shared" ref="O50:O73" si="16">+N50-L50</f>
        <v>0</v>
      </c>
      <c r="P50" s="4"/>
      <c r="R50" s="1"/>
      <c r="S50" s="1"/>
      <c r="T50" s="1"/>
      <c r="U50" s="1"/>
    </row>
    <row r="51" spans="2:21">
      <c r="B51" t="str">
        <f t="shared" si="11"/>
        <v/>
      </c>
      <c r="C51" s="155">
        <f>IF(D11="","-",+C50+1)</f>
        <v>2045</v>
      </c>
      <c r="D51" s="164">
        <f>IF(F50+SUM(E$17:E50)=D$10,F50,D$10-SUM(E$17:E50))</f>
        <v>2450769.7434744765</v>
      </c>
      <c r="E51" s="162">
        <f>IF(+I14&lt;F50,I14,D51)</f>
        <v>270708.0251158927</v>
      </c>
      <c r="F51" s="161">
        <f t="shared" si="12"/>
        <v>2180061.7183585837</v>
      </c>
      <c r="G51" s="163">
        <f t="shared" si="9"/>
        <v>542748.59721133742</v>
      </c>
      <c r="H51" s="145">
        <f t="shared" si="10"/>
        <v>542748.59721133742</v>
      </c>
      <c r="I51" s="158">
        <f t="shared" si="13"/>
        <v>0</v>
      </c>
      <c r="J51" s="158"/>
      <c r="K51" s="316"/>
      <c r="L51" s="160">
        <f t="shared" si="14"/>
        <v>0</v>
      </c>
      <c r="M51" s="316"/>
      <c r="N51" s="160">
        <f t="shared" si="15"/>
        <v>0</v>
      </c>
      <c r="O51" s="160">
        <f t="shared" si="16"/>
        <v>0</v>
      </c>
      <c r="P51" s="4"/>
      <c r="R51" s="1"/>
      <c r="S51" s="1"/>
      <c r="T51" s="1"/>
      <c r="U51" s="1"/>
    </row>
    <row r="52" spans="2:21">
      <c r="B52" t="str">
        <f t="shared" si="11"/>
        <v/>
      </c>
      <c r="C52" s="155">
        <f>IF(D11="","-",+C51+1)</f>
        <v>2046</v>
      </c>
      <c r="D52" s="164">
        <f>IF(F51+SUM(E$17:E51)=D$10,F51,D$10-SUM(E$17:E51))</f>
        <v>2180061.7183585837</v>
      </c>
      <c r="E52" s="162">
        <f>IF(+I14&lt;F51,I14,D52)</f>
        <v>270708.0251158927</v>
      </c>
      <c r="F52" s="161">
        <f t="shared" si="12"/>
        <v>1909353.693242691</v>
      </c>
      <c r="G52" s="163">
        <f t="shared" si="9"/>
        <v>510942.83333056583</v>
      </c>
      <c r="H52" s="145">
        <f t="shared" si="10"/>
        <v>510942.83333056583</v>
      </c>
      <c r="I52" s="158">
        <f t="shared" si="13"/>
        <v>0</v>
      </c>
      <c r="J52" s="158"/>
      <c r="K52" s="316"/>
      <c r="L52" s="160">
        <f t="shared" si="14"/>
        <v>0</v>
      </c>
      <c r="M52" s="316"/>
      <c r="N52" s="160">
        <f t="shared" si="15"/>
        <v>0</v>
      </c>
      <c r="O52" s="160">
        <f t="shared" si="16"/>
        <v>0</v>
      </c>
      <c r="P52" s="4"/>
      <c r="R52" s="1"/>
      <c r="S52" s="1"/>
      <c r="T52" s="1"/>
      <c r="U52" s="1"/>
    </row>
    <row r="53" spans="2:21">
      <c r="B53" t="str">
        <f t="shared" si="11"/>
        <v/>
      </c>
      <c r="C53" s="155">
        <f>IF(D11="","-",+C52+1)</f>
        <v>2047</v>
      </c>
      <c r="D53" s="164">
        <f>IF(F52+SUM(E$17:E52)=D$10,F52,D$10-SUM(E$17:E52))</f>
        <v>1909353.693242691</v>
      </c>
      <c r="E53" s="162">
        <f>IF(+I14&lt;F52,I14,D53)</f>
        <v>270708.0251158927</v>
      </c>
      <c r="F53" s="161">
        <f t="shared" si="12"/>
        <v>1638645.6681267982</v>
      </c>
      <c r="G53" s="163">
        <f t="shared" si="9"/>
        <v>479137.06944979413</v>
      </c>
      <c r="H53" s="145">
        <f t="shared" si="10"/>
        <v>479137.06944979413</v>
      </c>
      <c r="I53" s="158">
        <f t="shared" si="13"/>
        <v>0</v>
      </c>
      <c r="J53" s="158"/>
      <c r="K53" s="316"/>
      <c r="L53" s="160">
        <f t="shared" si="14"/>
        <v>0</v>
      </c>
      <c r="M53" s="316"/>
      <c r="N53" s="160">
        <f t="shared" si="15"/>
        <v>0</v>
      </c>
      <c r="O53" s="160">
        <f t="shared" si="16"/>
        <v>0</v>
      </c>
      <c r="P53" s="4"/>
      <c r="R53" s="1"/>
      <c r="S53" s="1"/>
      <c r="T53" s="1"/>
      <c r="U53" s="1"/>
    </row>
    <row r="54" spans="2:21">
      <c r="B54" t="str">
        <f t="shared" si="11"/>
        <v/>
      </c>
      <c r="C54" s="155">
        <f>IF(D11="","-",+C53+1)</f>
        <v>2048</v>
      </c>
      <c r="D54" s="164">
        <f>IF(F53+SUM(E$17:E53)=D$10,F53,D$10-SUM(E$17:E53))</f>
        <v>1638645.6681267982</v>
      </c>
      <c r="E54" s="162">
        <f>IF(+I14&lt;F53,I14,D54)</f>
        <v>270708.0251158927</v>
      </c>
      <c r="F54" s="161">
        <f t="shared" si="12"/>
        <v>1367937.6430109055</v>
      </c>
      <c r="G54" s="163">
        <f t="shared" si="9"/>
        <v>447331.30556902249</v>
      </c>
      <c r="H54" s="145">
        <f t="shared" si="10"/>
        <v>447331.30556902249</v>
      </c>
      <c r="I54" s="158">
        <f t="shared" si="13"/>
        <v>0</v>
      </c>
      <c r="J54" s="158"/>
      <c r="K54" s="316"/>
      <c r="L54" s="160">
        <f t="shared" si="14"/>
        <v>0</v>
      </c>
      <c r="M54" s="316"/>
      <c r="N54" s="160">
        <f t="shared" si="15"/>
        <v>0</v>
      </c>
      <c r="O54" s="160">
        <f t="shared" si="16"/>
        <v>0</v>
      </c>
      <c r="P54" s="4"/>
      <c r="R54" s="1"/>
      <c r="S54" s="1"/>
      <c r="T54" s="1"/>
      <c r="U54" s="1"/>
    </row>
    <row r="55" spans="2:21">
      <c r="B55" t="str">
        <f t="shared" si="11"/>
        <v/>
      </c>
      <c r="C55" s="155">
        <f>IF(D11="","-",+C54+1)</f>
        <v>2049</v>
      </c>
      <c r="D55" s="164">
        <f>IF(F54+SUM(E$17:E54)=D$10,F54,D$10-SUM(E$17:E54))</f>
        <v>1367937.6430109055</v>
      </c>
      <c r="E55" s="162">
        <f>IF(+I14&lt;F54,I14,D55)</f>
        <v>270708.0251158927</v>
      </c>
      <c r="F55" s="161">
        <f t="shared" si="12"/>
        <v>1097229.6178950127</v>
      </c>
      <c r="G55" s="163">
        <f t="shared" si="9"/>
        <v>415525.54168825084</v>
      </c>
      <c r="H55" s="145">
        <f t="shared" si="10"/>
        <v>415525.54168825084</v>
      </c>
      <c r="I55" s="158">
        <f t="shared" si="13"/>
        <v>0</v>
      </c>
      <c r="J55" s="158"/>
      <c r="K55" s="316"/>
      <c r="L55" s="160">
        <f t="shared" si="14"/>
        <v>0</v>
      </c>
      <c r="M55" s="316"/>
      <c r="N55" s="160">
        <f t="shared" si="15"/>
        <v>0</v>
      </c>
      <c r="O55" s="160">
        <f t="shared" si="16"/>
        <v>0</v>
      </c>
      <c r="P55" s="4"/>
      <c r="R55" s="1"/>
      <c r="S55" s="1"/>
      <c r="T55" s="1"/>
      <c r="U55" s="1"/>
    </row>
    <row r="56" spans="2:21">
      <c r="B56" t="str">
        <f t="shared" si="11"/>
        <v/>
      </c>
      <c r="C56" s="155">
        <f>IF(D11="","-",+C55+1)</f>
        <v>2050</v>
      </c>
      <c r="D56" s="164">
        <f>IF(F55+SUM(E$17:E55)=D$10,F55,D$10-SUM(E$17:E55))</f>
        <v>1097229.6178950127</v>
      </c>
      <c r="E56" s="162">
        <f>IF(+I14&lt;F55,I14,D56)</f>
        <v>270708.0251158927</v>
      </c>
      <c r="F56" s="161">
        <f t="shared" si="12"/>
        <v>826521.59277911996</v>
      </c>
      <c r="G56" s="163">
        <f t="shared" si="9"/>
        <v>383719.77780747914</v>
      </c>
      <c r="H56" s="145">
        <f t="shared" si="10"/>
        <v>383719.77780747914</v>
      </c>
      <c r="I56" s="158">
        <f t="shared" si="13"/>
        <v>0</v>
      </c>
      <c r="J56" s="158"/>
      <c r="K56" s="316"/>
      <c r="L56" s="160">
        <f t="shared" si="14"/>
        <v>0</v>
      </c>
      <c r="M56" s="316"/>
      <c r="N56" s="160">
        <f t="shared" si="15"/>
        <v>0</v>
      </c>
      <c r="O56" s="160">
        <f t="shared" si="16"/>
        <v>0</v>
      </c>
      <c r="P56" s="4"/>
      <c r="R56" s="1"/>
      <c r="S56" s="1"/>
      <c r="T56" s="1"/>
      <c r="U56" s="1"/>
    </row>
    <row r="57" spans="2:21">
      <c r="B57" t="str">
        <f t="shared" si="11"/>
        <v/>
      </c>
      <c r="C57" s="155">
        <f>IF(D11="","-",+C56+1)</f>
        <v>2051</v>
      </c>
      <c r="D57" s="164">
        <f>IF(F56+SUM(E$17:E56)=D$10,F56,D$10-SUM(E$17:E56))</f>
        <v>826521.59277911996</v>
      </c>
      <c r="E57" s="162">
        <f>IF(+I14&lt;F56,I14,D57)</f>
        <v>270708.0251158927</v>
      </c>
      <c r="F57" s="161">
        <f t="shared" si="12"/>
        <v>555813.56766322721</v>
      </c>
      <c r="G57" s="163">
        <f t="shared" si="9"/>
        <v>351914.0139267075</v>
      </c>
      <c r="H57" s="145">
        <f t="shared" si="10"/>
        <v>351914.0139267075</v>
      </c>
      <c r="I57" s="158">
        <f t="shared" si="13"/>
        <v>0</v>
      </c>
      <c r="J57" s="158"/>
      <c r="K57" s="316"/>
      <c r="L57" s="160">
        <f t="shared" si="14"/>
        <v>0</v>
      </c>
      <c r="M57" s="316"/>
      <c r="N57" s="160">
        <f t="shared" si="15"/>
        <v>0</v>
      </c>
      <c r="O57" s="160">
        <f t="shared" si="16"/>
        <v>0</v>
      </c>
      <c r="P57" s="4"/>
      <c r="R57" s="1"/>
      <c r="S57" s="1"/>
      <c r="T57" s="1"/>
      <c r="U57" s="1"/>
    </row>
    <row r="58" spans="2:21">
      <c r="B58" t="str">
        <f t="shared" si="11"/>
        <v/>
      </c>
      <c r="C58" s="155">
        <f>IF(D11="","-",+C57+1)</f>
        <v>2052</v>
      </c>
      <c r="D58" s="164">
        <f>IF(F57+SUM(E$17:E57)=D$10,F57,D$10-SUM(E$17:E57))</f>
        <v>555813.56766322721</v>
      </c>
      <c r="E58" s="162">
        <f>IF(+I14&lt;F57,I14,D58)</f>
        <v>270708.0251158927</v>
      </c>
      <c r="F58" s="161">
        <f t="shared" si="12"/>
        <v>285105.54254733451</v>
      </c>
      <c r="G58" s="163">
        <f t="shared" si="9"/>
        <v>320108.2500459358</v>
      </c>
      <c r="H58" s="145">
        <f t="shared" si="10"/>
        <v>320108.2500459358</v>
      </c>
      <c r="I58" s="158">
        <f t="shared" si="13"/>
        <v>0</v>
      </c>
      <c r="J58" s="158"/>
      <c r="K58" s="316"/>
      <c r="L58" s="160">
        <f t="shared" si="14"/>
        <v>0</v>
      </c>
      <c r="M58" s="316"/>
      <c r="N58" s="160">
        <f t="shared" si="15"/>
        <v>0</v>
      </c>
      <c r="O58" s="160">
        <f t="shared" si="16"/>
        <v>0</v>
      </c>
      <c r="P58" s="4"/>
      <c r="R58" s="1"/>
      <c r="S58" s="1"/>
      <c r="T58" s="1"/>
      <c r="U58" s="1"/>
    </row>
    <row r="59" spans="2:21">
      <c r="B59" t="str">
        <f t="shared" si="11"/>
        <v/>
      </c>
      <c r="C59" s="155">
        <f>IF(D11="","-",+C58+1)</f>
        <v>2053</v>
      </c>
      <c r="D59" s="164">
        <f>IF(F58+SUM(E$17:E58)=D$10,F58,D$10-SUM(E$17:E58))</f>
        <v>285105.54254733451</v>
      </c>
      <c r="E59" s="162">
        <f>IF(+I14&lt;F58,I14,D59)</f>
        <v>270708.0251158927</v>
      </c>
      <c r="F59" s="161">
        <f t="shared" si="12"/>
        <v>14397.517431441811</v>
      </c>
      <c r="G59" s="163">
        <f t="shared" si="9"/>
        <v>288302.48616516415</v>
      </c>
      <c r="H59" s="145">
        <f t="shared" si="10"/>
        <v>288302.48616516415</v>
      </c>
      <c r="I59" s="158">
        <f t="shared" si="13"/>
        <v>0</v>
      </c>
      <c r="J59" s="158"/>
      <c r="K59" s="316"/>
      <c r="L59" s="160">
        <f t="shared" si="14"/>
        <v>0</v>
      </c>
      <c r="M59" s="316"/>
      <c r="N59" s="160">
        <f t="shared" si="15"/>
        <v>0</v>
      </c>
      <c r="O59" s="160">
        <f t="shared" si="16"/>
        <v>0</v>
      </c>
      <c r="P59" s="4"/>
      <c r="R59" s="1"/>
      <c r="S59" s="1"/>
      <c r="T59" s="1"/>
      <c r="U59" s="1"/>
    </row>
    <row r="60" spans="2:21">
      <c r="B60" t="str">
        <f t="shared" si="11"/>
        <v/>
      </c>
      <c r="C60" s="155">
        <f>IF(D11="","-",+C59+1)</f>
        <v>2054</v>
      </c>
      <c r="D60" s="164">
        <f>IF(F59+SUM(E$17:E59)=D$10,F59,D$10-SUM(E$17:E59))</f>
        <v>14397.517431441811</v>
      </c>
      <c r="E60" s="162">
        <f>IF(+I14&lt;F59,I14,D60)</f>
        <v>14397.517431441811</v>
      </c>
      <c r="F60" s="161">
        <f t="shared" si="12"/>
        <v>0</v>
      </c>
      <c r="G60" s="163">
        <f t="shared" si="9"/>
        <v>15243.306985884628</v>
      </c>
      <c r="H60" s="145">
        <f t="shared" si="10"/>
        <v>15243.306985884628</v>
      </c>
      <c r="I60" s="158">
        <f t="shared" si="13"/>
        <v>0</v>
      </c>
      <c r="J60" s="158"/>
      <c r="K60" s="316"/>
      <c r="L60" s="160">
        <f t="shared" si="14"/>
        <v>0</v>
      </c>
      <c r="M60" s="316"/>
      <c r="N60" s="160">
        <f t="shared" si="15"/>
        <v>0</v>
      </c>
      <c r="O60" s="160">
        <f t="shared" si="16"/>
        <v>0</v>
      </c>
      <c r="P60" s="4"/>
      <c r="R60" s="1"/>
      <c r="S60" s="1"/>
      <c r="T60" s="1"/>
      <c r="U60" s="1"/>
    </row>
    <row r="61" spans="2:21">
      <c r="B61" t="str">
        <f t="shared" si="11"/>
        <v/>
      </c>
      <c r="C61" s="155">
        <f>IF(D11="","-",+C60+1)</f>
        <v>2055</v>
      </c>
      <c r="D61" s="164">
        <f>IF(F60+SUM(E$17:E60)=D$10,F60,D$10-SUM(E$17:E60))</f>
        <v>0</v>
      </c>
      <c r="E61" s="162">
        <f>IF(+I14&lt;F60,I14,D61)</f>
        <v>0</v>
      </c>
      <c r="F61" s="161">
        <f t="shared" si="12"/>
        <v>0</v>
      </c>
      <c r="G61" s="163">
        <f t="shared" si="9"/>
        <v>0</v>
      </c>
      <c r="H61" s="145">
        <f t="shared" si="10"/>
        <v>0</v>
      </c>
      <c r="I61" s="158">
        <f t="shared" si="13"/>
        <v>0</v>
      </c>
      <c r="J61" s="158"/>
      <c r="K61" s="316"/>
      <c r="L61" s="160">
        <f t="shared" si="14"/>
        <v>0</v>
      </c>
      <c r="M61" s="316"/>
      <c r="N61" s="160">
        <f t="shared" si="15"/>
        <v>0</v>
      </c>
      <c r="O61" s="160">
        <f t="shared" si="16"/>
        <v>0</v>
      </c>
      <c r="P61" s="4"/>
      <c r="R61" s="1"/>
      <c r="S61" s="1"/>
      <c r="T61" s="1"/>
      <c r="U61" s="1"/>
    </row>
    <row r="62" spans="2:21">
      <c r="B62" t="str">
        <f t="shared" si="11"/>
        <v/>
      </c>
      <c r="C62" s="155">
        <f>IF(D11="","-",+C61+1)</f>
        <v>2056</v>
      </c>
      <c r="D62" s="164">
        <f>IF(F61+SUM(E$17:E61)=D$10,F61,D$10-SUM(E$17:E61))</f>
        <v>0</v>
      </c>
      <c r="E62" s="162">
        <f>IF(+I14&lt;F61,I14,D62)</f>
        <v>0</v>
      </c>
      <c r="F62" s="161">
        <f t="shared" si="12"/>
        <v>0</v>
      </c>
      <c r="G62" s="165">
        <f t="shared" si="9"/>
        <v>0</v>
      </c>
      <c r="H62" s="145">
        <f t="shared" si="10"/>
        <v>0</v>
      </c>
      <c r="I62" s="158">
        <f t="shared" si="13"/>
        <v>0</v>
      </c>
      <c r="J62" s="158"/>
      <c r="K62" s="316"/>
      <c r="L62" s="160">
        <f t="shared" si="14"/>
        <v>0</v>
      </c>
      <c r="M62" s="316"/>
      <c r="N62" s="160">
        <f t="shared" si="15"/>
        <v>0</v>
      </c>
      <c r="O62" s="160">
        <f t="shared" si="16"/>
        <v>0</v>
      </c>
      <c r="P62" s="4"/>
      <c r="R62" s="1"/>
      <c r="S62" s="1"/>
      <c r="T62" s="1"/>
      <c r="U62" s="1"/>
    </row>
    <row r="63" spans="2:21">
      <c r="B63" t="str">
        <f t="shared" si="11"/>
        <v/>
      </c>
      <c r="C63" s="155">
        <f>IF(D11="","-",+C62+1)</f>
        <v>2057</v>
      </c>
      <c r="D63" s="164">
        <f>IF(F62+SUM(E$17:E62)=D$10,F62,D$10-SUM(E$17:E62))</f>
        <v>0</v>
      </c>
      <c r="E63" s="162">
        <f>IF(+I14&lt;F62,I14,D63)</f>
        <v>0</v>
      </c>
      <c r="F63" s="161">
        <f t="shared" si="12"/>
        <v>0</v>
      </c>
      <c r="G63" s="165">
        <f t="shared" si="9"/>
        <v>0</v>
      </c>
      <c r="H63" s="145">
        <f t="shared" si="10"/>
        <v>0</v>
      </c>
      <c r="I63" s="158">
        <f t="shared" si="13"/>
        <v>0</v>
      </c>
      <c r="J63" s="158"/>
      <c r="K63" s="316"/>
      <c r="L63" s="160">
        <f t="shared" si="14"/>
        <v>0</v>
      </c>
      <c r="M63" s="316"/>
      <c r="N63" s="160">
        <f t="shared" si="15"/>
        <v>0</v>
      </c>
      <c r="O63" s="160">
        <f t="shared" si="16"/>
        <v>0</v>
      </c>
      <c r="P63" s="4"/>
      <c r="R63" s="1"/>
      <c r="S63" s="1"/>
      <c r="T63" s="1"/>
      <c r="U63" s="1"/>
    </row>
    <row r="64" spans="2:21">
      <c r="B64" t="str">
        <f t="shared" si="11"/>
        <v/>
      </c>
      <c r="C64" s="155">
        <f>IF(D11="","-",+C63+1)</f>
        <v>2058</v>
      </c>
      <c r="D64" s="164">
        <f>IF(F63+SUM(E$17:E63)=D$10,F63,D$10-SUM(E$17:E63))</f>
        <v>0</v>
      </c>
      <c r="E64" s="162">
        <f>IF(+I14&lt;F63,I14,D64)</f>
        <v>0</v>
      </c>
      <c r="F64" s="161">
        <f t="shared" si="12"/>
        <v>0</v>
      </c>
      <c r="G64" s="165">
        <f t="shared" si="9"/>
        <v>0</v>
      </c>
      <c r="H64" s="145">
        <f t="shared" si="10"/>
        <v>0</v>
      </c>
      <c r="I64" s="158">
        <f t="shared" si="13"/>
        <v>0</v>
      </c>
      <c r="J64" s="158"/>
      <c r="K64" s="316"/>
      <c r="L64" s="160">
        <f t="shared" si="14"/>
        <v>0</v>
      </c>
      <c r="M64" s="316"/>
      <c r="N64" s="160">
        <f t="shared" si="15"/>
        <v>0</v>
      </c>
      <c r="O64" s="160">
        <f t="shared" si="16"/>
        <v>0</v>
      </c>
      <c r="P64" s="4"/>
      <c r="R64" s="1"/>
      <c r="S64" s="1"/>
      <c r="T64" s="1"/>
      <c r="U64" s="1"/>
    </row>
    <row r="65" spans="2:21">
      <c r="B65" t="str">
        <f t="shared" si="11"/>
        <v/>
      </c>
      <c r="C65" s="155">
        <f>IF(D11="","-",+C64+1)</f>
        <v>2059</v>
      </c>
      <c r="D65" s="164">
        <f>IF(F64+SUM(E$17:E64)=D$10,F64,D$10-SUM(E$17:E64))</f>
        <v>0</v>
      </c>
      <c r="E65" s="162">
        <f>IF(+I14&lt;F64,I14,D65)</f>
        <v>0</v>
      </c>
      <c r="F65" s="161">
        <f t="shared" si="12"/>
        <v>0</v>
      </c>
      <c r="G65" s="165">
        <f t="shared" si="9"/>
        <v>0</v>
      </c>
      <c r="H65" s="145">
        <f t="shared" si="10"/>
        <v>0</v>
      </c>
      <c r="I65" s="158">
        <f t="shared" si="13"/>
        <v>0</v>
      </c>
      <c r="J65" s="158"/>
      <c r="K65" s="316"/>
      <c r="L65" s="160">
        <f t="shared" si="14"/>
        <v>0</v>
      </c>
      <c r="M65" s="316"/>
      <c r="N65" s="160">
        <f t="shared" si="15"/>
        <v>0</v>
      </c>
      <c r="O65" s="160">
        <f t="shared" si="16"/>
        <v>0</v>
      </c>
      <c r="P65" s="4"/>
      <c r="R65" s="1"/>
      <c r="S65" s="1"/>
      <c r="T65" s="1"/>
      <c r="U65" s="1"/>
    </row>
    <row r="66" spans="2:21">
      <c r="B66" t="str">
        <f t="shared" si="11"/>
        <v/>
      </c>
      <c r="C66" s="155">
        <f>IF(D11="","-",+C65+1)</f>
        <v>2060</v>
      </c>
      <c r="D66" s="164">
        <f>IF(F65+SUM(E$17:E65)=D$10,F65,D$10-SUM(E$17:E65))</f>
        <v>0</v>
      </c>
      <c r="E66" s="162">
        <f>IF(+I14&lt;F65,I14,D66)</f>
        <v>0</v>
      </c>
      <c r="F66" s="161">
        <f t="shared" si="12"/>
        <v>0</v>
      </c>
      <c r="G66" s="165">
        <f t="shared" si="9"/>
        <v>0</v>
      </c>
      <c r="H66" s="145">
        <f t="shared" si="10"/>
        <v>0</v>
      </c>
      <c r="I66" s="158">
        <f t="shared" si="13"/>
        <v>0</v>
      </c>
      <c r="J66" s="158"/>
      <c r="K66" s="316"/>
      <c r="L66" s="160">
        <f t="shared" si="14"/>
        <v>0</v>
      </c>
      <c r="M66" s="316"/>
      <c r="N66" s="160">
        <f t="shared" si="15"/>
        <v>0</v>
      </c>
      <c r="O66" s="160">
        <f t="shared" si="16"/>
        <v>0</v>
      </c>
      <c r="P66" s="4"/>
      <c r="R66" s="1"/>
      <c r="S66" s="1"/>
      <c r="T66" s="1"/>
      <c r="U66" s="1"/>
    </row>
    <row r="67" spans="2:21">
      <c r="B67" t="str">
        <f t="shared" si="11"/>
        <v/>
      </c>
      <c r="C67" s="155">
        <f>IF(D11="","-",+C66+1)</f>
        <v>2061</v>
      </c>
      <c r="D67" s="164">
        <f>IF(F66+SUM(E$17:E66)=D$10,F66,D$10-SUM(E$17:E66))</f>
        <v>0</v>
      </c>
      <c r="E67" s="162">
        <f>IF(+I14&lt;F66,I14,D67)</f>
        <v>0</v>
      </c>
      <c r="F67" s="161">
        <f t="shared" si="12"/>
        <v>0</v>
      </c>
      <c r="G67" s="165">
        <f t="shared" si="9"/>
        <v>0</v>
      </c>
      <c r="H67" s="145">
        <f t="shared" si="10"/>
        <v>0</v>
      </c>
      <c r="I67" s="158">
        <f t="shared" si="13"/>
        <v>0</v>
      </c>
      <c r="J67" s="158"/>
      <c r="K67" s="316"/>
      <c r="L67" s="160">
        <f t="shared" si="14"/>
        <v>0</v>
      </c>
      <c r="M67" s="316"/>
      <c r="N67" s="160">
        <f t="shared" si="15"/>
        <v>0</v>
      </c>
      <c r="O67" s="160">
        <f t="shared" si="16"/>
        <v>0</v>
      </c>
      <c r="P67" s="4"/>
      <c r="R67" s="1"/>
      <c r="S67" s="1"/>
      <c r="T67" s="1"/>
      <c r="U67" s="1"/>
    </row>
    <row r="68" spans="2:21">
      <c r="B68" t="str">
        <f t="shared" si="11"/>
        <v/>
      </c>
      <c r="C68" s="155">
        <f>IF(D11="","-",+C67+1)</f>
        <v>2062</v>
      </c>
      <c r="D68" s="164">
        <f>IF(F67+SUM(E$17:E67)=D$10,F67,D$10-SUM(E$17:E67))</f>
        <v>0</v>
      </c>
      <c r="E68" s="162">
        <f>IF(+I14&lt;F67,I14,D68)</f>
        <v>0</v>
      </c>
      <c r="F68" s="161">
        <f t="shared" si="12"/>
        <v>0</v>
      </c>
      <c r="G68" s="165">
        <f t="shared" si="9"/>
        <v>0</v>
      </c>
      <c r="H68" s="145">
        <f t="shared" si="10"/>
        <v>0</v>
      </c>
      <c r="I68" s="158">
        <f t="shared" si="13"/>
        <v>0</v>
      </c>
      <c r="J68" s="158"/>
      <c r="K68" s="316"/>
      <c r="L68" s="160">
        <f t="shared" si="14"/>
        <v>0</v>
      </c>
      <c r="M68" s="316"/>
      <c r="N68" s="160">
        <f t="shared" si="15"/>
        <v>0</v>
      </c>
      <c r="O68" s="160">
        <f t="shared" si="16"/>
        <v>0</v>
      </c>
      <c r="P68" s="4"/>
      <c r="R68" s="1"/>
      <c r="S68" s="1"/>
      <c r="T68" s="1"/>
      <c r="U68" s="1"/>
    </row>
    <row r="69" spans="2:21">
      <c r="B69" t="str">
        <f t="shared" si="11"/>
        <v/>
      </c>
      <c r="C69" s="155">
        <f>IF(D11="","-",+C68+1)</f>
        <v>2063</v>
      </c>
      <c r="D69" s="164">
        <f>IF(F68+SUM(E$17:E68)=D$10,F68,D$10-SUM(E$17:E68))</f>
        <v>0</v>
      </c>
      <c r="E69" s="162">
        <f>IF(+I14&lt;F68,I14,D69)</f>
        <v>0</v>
      </c>
      <c r="F69" s="161">
        <f t="shared" si="12"/>
        <v>0</v>
      </c>
      <c r="G69" s="165">
        <f t="shared" si="9"/>
        <v>0</v>
      </c>
      <c r="H69" s="145">
        <f t="shared" si="10"/>
        <v>0</v>
      </c>
      <c r="I69" s="158">
        <f t="shared" si="13"/>
        <v>0</v>
      </c>
      <c r="J69" s="158"/>
      <c r="K69" s="316"/>
      <c r="L69" s="160">
        <f t="shared" si="14"/>
        <v>0</v>
      </c>
      <c r="M69" s="316"/>
      <c r="N69" s="160">
        <f t="shared" si="15"/>
        <v>0</v>
      </c>
      <c r="O69" s="160">
        <f t="shared" si="16"/>
        <v>0</v>
      </c>
      <c r="P69" s="4"/>
      <c r="R69" s="1"/>
      <c r="S69" s="1"/>
      <c r="T69" s="1"/>
      <c r="U69" s="1"/>
    </row>
    <row r="70" spans="2:21">
      <c r="B70" t="str">
        <f t="shared" si="11"/>
        <v/>
      </c>
      <c r="C70" s="155">
        <f>IF(D11="","-",+C69+1)</f>
        <v>2064</v>
      </c>
      <c r="D70" s="164">
        <f>IF(F69+SUM(E$17:E69)=D$10,F69,D$10-SUM(E$17:E69))</f>
        <v>0</v>
      </c>
      <c r="E70" s="162">
        <f>IF(+I14&lt;F69,I14,D70)</f>
        <v>0</v>
      </c>
      <c r="F70" s="161">
        <f t="shared" si="12"/>
        <v>0</v>
      </c>
      <c r="G70" s="165">
        <f t="shared" si="9"/>
        <v>0</v>
      </c>
      <c r="H70" s="145">
        <f t="shared" si="10"/>
        <v>0</v>
      </c>
      <c r="I70" s="158">
        <f t="shared" si="13"/>
        <v>0</v>
      </c>
      <c r="J70" s="158"/>
      <c r="K70" s="316"/>
      <c r="L70" s="160">
        <f t="shared" si="14"/>
        <v>0</v>
      </c>
      <c r="M70" s="316"/>
      <c r="N70" s="160">
        <f t="shared" si="15"/>
        <v>0</v>
      </c>
      <c r="O70" s="160">
        <f t="shared" si="16"/>
        <v>0</v>
      </c>
      <c r="P70" s="4"/>
      <c r="R70" s="1"/>
      <c r="S70" s="1"/>
      <c r="T70" s="1"/>
      <c r="U70" s="1"/>
    </row>
    <row r="71" spans="2:21">
      <c r="B71" t="str">
        <f t="shared" si="11"/>
        <v/>
      </c>
      <c r="C71" s="155">
        <f>IF(D11="","-",+C70+1)</f>
        <v>2065</v>
      </c>
      <c r="D71" s="164">
        <f>IF(F70+SUM(E$17:E70)=D$10,F70,D$10-SUM(E$17:E70))</f>
        <v>0</v>
      </c>
      <c r="E71" s="162">
        <f>IF(+I14&lt;F70,I14,D71)</f>
        <v>0</v>
      </c>
      <c r="F71" s="161">
        <f t="shared" si="12"/>
        <v>0</v>
      </c>
      <c r="G71" s="165">
        <f t="shared" si="9"/>
        <v>0</v>
      </c>
      <c r="H71" s="145">
        <f t="shared" si="10"/>
        <v>0</v>
      </c>
      <c r="I71" s="158">
        <f t="shared" si="13"/>
        <v>0</v>
      </c>
      <c r="J71" s="158"/>
      <c r="K71" s="316"/>
      <c r="L71" s="160">
        <f t="shared" si="14"/>
        <v>0</v>
      </c>
      <c r="M71" s="316"/>
      <c r="N71" s="160">
        <f t="shared" si="15"/>
        <v>0</v>
      </c>
      <c r="O71" s="160">
        <f t="shared" si="16"/>
        <v>0</v>
      </c>
      <c r="P71" s="4"/>
      <c r="R71" s="1"/>
      <c r="S71" s="1"/>
      <c r="T71" s="1"/>
      <c r="U71" s="1"/>
    </row>
    <row r="72" spans="2:21">
      <c r="B72" t="str">
        <f t="shared" si="11"/>
        <v/>
      </c>
      <c r="C72" s="155">
        <f>IF(D11="","-",+C71+1)</f>
        <v>2066</v>
      </c>
      <c r="D72" s="164">
        <f>IF(F71+SUM(E$17:E71)=D$10,F71,D$10-SUM(E$17:E71))</f>
        <v>0</v>
      </c>
      <c r="E72" s="162">
        <f>IF(+I14&lt;F71,I14,D72)</f>
        <v>0</v>
      </c>
      <c r="F72" s="161">
        <f t="shared" si="12"/>
        <v>0</v>
      </c>
      <c r="G72" s="165">
        <f t="shared" si="9"/>
        <v>0</v>
      </c>
      <c r="H72" s="145">
        <f t="shared" si="10"/>
        <v>0</v>
      </c>
      <c r="I72" s="158">
        <f t="shared" si="13"/>
        <v>0</v>
      </c>
      <c r="J72" s="158"/>
      <c r="K72" s="316"/>
      <c r="L72" s="160">
        <f t="shared" si="14"/>
        <v>0</v>
      </c>
      <c r="M72" s="316"/>
      <c r="N72" s="160">
        <f t="shared" si="15"/>
        <v>0</v>
      </c>
      <c r="O72" s="160">
        <f t="shared" si="16"/>
        <v>0</v>
      </c>
      <c r="P72" s="4"/>
      <c r="R72" s="1"/>
      <c r="S72" s="1"/>
      <c r="T72" s="1"/>
      <c r="U72" s="1"/>
    </row>
    <row r="73" spans="2:21" ht="13.5" thickBot="1">
      <c r="B73" t="str">
        <f t="shared" si="11"/>
        <v/>
      </c>
      <c r="C73" s="166">
        <f>IF(D11="","-",+C72+1)</f>
        <v>2067</v>
      </c>
      <c r="D73" s="349">
        <f>IF(F72+SUM(E$17:E72)=D$10,F72,D$10-SUM(E$17:E72))</f>
        <v>0</v>
      </c>
      <c r="E73" s="168">
        <f>IF(+I14&lt;F72,I14,D73)</f>
        <v>0</v>
      </c>
      <c r="F73" s="167">
        <f t="shared" si="12"/>
        <v>0</v>
      </c>
      <c r="G73" s="169">
        <f t="shared" si="9"/>
        <v>0</v>
      </c>
      <c r="H73" s="127">
        <f t="shared" si="10"/>
        <v>0</v>
      </c>
      <c r="I73" s="170">
        <f t="shared" si="13"/>
        <v>0</v>
      </c>
      <c r="J73" s="158"/>
      <c r="K73" s="317"/>
      <c r="L73" s="171">
        <f t="shared" si="14"/>
        <v>0</v>
      </c>
      <c r="M73" s="317"/>
      <c r="N73" s="171">
        <f t="shared" si="15"/>
        <v>0</v>
      </c>
      <c r="O73" s="171">
        <f t="shared" si="16"/>
        <v>0</v>
      </c>
      <c r="P73" s="4"/>
      <c r="R73" s="1"/>
      <c r="S73" s="1"/>
      <c r="T73" s="1"/>
      <c r="U73" s="1"/>
    </row>
    <row r="74" spans="2:21">
      <c r="C74" s="156" t="s">
        <v>75</v>
      </c>
      <c r="D74" s="112"/>
      <c r="E74" s="112">
        <f>SUM(E17:E73)</f>
        <v>11038231.999999998</v>
      </c>
      <c r="F74" s="112"/>
      <c r="G74" s="112">
        <f>SUM(G17:G73)</f>
        <v>40349493.890654556</v>
      </c>
      <c r="H74" s="112">
        <f>SUM(H17:H73)</f>
        <v>40349493.890654556</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1" t="str">
        <f ca="1">P1</f>
        <v>OKT Project 4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1401504.2219921714</v>
      </c>
      <c r="N88" s="198">
        <f>IF(J93&lt;D11,0,VLOOKUP(J93,C17:O73,11))</f>
        <v>1401504.2219921714</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1304556.8117171286</v>
      </c>
      <c r="N89" s="200">
        <f>IF(J93&lt;D11,0,VLOOKUP(J93,C100:P155,7))</f>
        <v>1304556.8117171286</v>
      </c>
      <c r="O89" s="201">
        <f>+N89-M89</f>
        <v>0</v>
      </c>
      <c r="P89" s="1"/>
      <c r="Q89" s="1"/>
      <c r="R89" s="1"/>
      <c r="S89" s="1"/>
      <c r="T89" s="1"/>
      <c r="U89" s="1"/>
    </row>
    <row r="90" spans="1:21" ht="13.5" thickBot="1">
      <c r="C90" s="124" t="s">
        <v>82</v>
      </c>
      <c r="D90" s="243" t="str">
        <f>+D7</f>
        <v xml:space="preserve">Bartlesville SE to Coffeyville T Rebuild </v>
      </c>
      <c r="E90" s="1"/>
      <c r="F90" s="1"/>
      <c r="G90" s="1"/>
      <c r="H90" s="1"/>
      <c r="I90" s="3"/>
      <c r="J90" s="3"/>
      <c r="K90" s="256"/>
      <c r="L90" s="257" t="s">
        <v>135</v>
      </c>
      <c r="M90" s="203">
        <f>+M89-M88</f>
        <v>-96947.410275042756</v>
      </c>
      <c r="N90" s="203">
        <f>+N89-N88</f>
        <v>-96947.410275042756</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TP2008079</v>
      </c>
      <c r="E92" s="206"/>
      <c r="F92" s="206"/>
      <c r="G92" s="206"/>
      <c r="H92" s="206"/>
      <c r="I92" s="206"/>
      <c r="J92" s="206"/>
      <c r="K92" s="207"/>
      <c r="P92" s="134"/>
      <c r="Q92" s="1"/>
      <c r="R92" s="1"/>
      <c r="S92" s="1"/>
      <c r="T92" s="1"/>
      <c r="U92" s="1"/>
    </row>
    <row r="93" spans="1:21">
      <c r="C93" s="139" t="s">
        <v>49</v>
      </c>
      <c r="D93" s="381">
        <f>D10</f>
        <v>11038232</v>
      </c>
      <c r="E93" s="23" t="s">
        <v>84</v>
      </c>
      <c r="H93" s="137"/>
      <c r="I93" s="137"/>
      <c r="J93" s="138">
        <f>+'OKT.WS.G.BPU.ATRR.True-up'!M16</f>
        <v>2018</v>
      </c>
      <c r="K93" s="133"/>
      <c r="L93" s="112" t="s">
        <v>85</v>
      </c>
      <c r="P93" s="4"/>
      <c r="Q93" s="1"/>
      <c r="R93" s="1"/>
      <c r="S93" s="1"/>
      <c r="T93" s="1"/>
      <c r="U93" s="1"/>
    </row>
    <row r="94" spans="1:21">
      <c r="C94" s="139" t="s">
        <v>52</v>
      </c>
      <c r="D94" s="218">
        <f>IF(D11=I10,"",D11)</f>
        <v>2011</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IF(D11=I10,"",D12)</f>
        <v>6</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306617.55555555556</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319" t="s">
        <v>177</v>
      </c>
      <c r="M98" s="149" t="s">
        <v>89</v>
      </c>
      <c r="N98" s="319" t="s">
        <v>177</v>
      </c>
      <c r="O98" s="149" t="s">
        <v>89</v>
      </c>
      <c r="P98" s="149" t="s">
        <v>67</v>
      </c>
      <c r="Q98" s="1"/>
      <c r="R98" s="1"/>
      <c r="S98" s="1"/>
      <c r="T98" s="1"/>
      <c r="U98" s="1"/>
    </row>
    <row r="99" spans="1:21" ht="13.5" thickBot="1">
      <c r="C99" s="150" t="s">
        <v>68</v>
      </c>
      <c r="D99" s="212" t="s">
        <v>69</v>
      </c>
      <c r="E99" s="150" t="s">
        <v>70</v>
      </c>
      <c r="F99" s="150" t="s">
        <v>69</v>
      </c>
      <c r="G99" s="150" t="s">
        <v>69</v>
      </c>
      <c r="H99" s="321" t="s">
        <v>71</v>
      </c>
      <c r="I99" s="151" t="s">
        <v>72</v>
      </c>
      <c r="J99" s="152" t="s">
        <v>93</v>
      </c>
      <c r="K99" s="153"/>
      <c r="L99" s="353" t="s">
        <v>74</v>
      </c>
      <c r="M99" s="353" t="s">
        <v>74</v>
      </c>
      <c r="N99" s="353" t="s">
        <v>94</v>
      </c>
      <c r="O99" s="353" t="s">
        <v>94</v>
      </c>
      <c r="P99" s="353" t="s">
        <v>94</v>
      </c>
      <c r="Q99" s="1"/>
      <c r="R99" s="1"/>
      <c r="S99" s="1"/>
      <c r="T99" s="1"/>
      <c r="U99" s="1"/>
    </row>
    <row r="100" spans="1:21">
      <c r="B100" t="str">
        <f t="shared" ref="B100:B131" si="17">IF(D100=F99,"","IU")</f>
        <v>IU</v>
      </c>
      <c r="C100" s="155">
        <f>IF(D94= "","-",D94)</f>
        <v>2011</v>
      </c>
      <c r="D100" s="373">
        <v>0</v>
      </c>
      <c r="E100" s="375">
        <v>101638.13793103448</v>
      </c>
      <c r="F100" s="377">
        <v>11688385.862068966</v>
      </c>
      <c r="G100" s="378">
        <v>5844192.931034483</v>
      </c>
      <c r="H100" s="378">
        <v>536168.05303368822</v>
      </c>
      <c r="I100" s="378">
        <v>536168.05303368822</v>
      </c>
      <c r="J100" s="160">
        <v>0</v>
      </c>
      <c r="K100" s="352"/>
      <c r="L100" s="354">
        <f t="shared" ref="L100:L105" si="18">H100</f>
        <v>536168.05303368822</v>
      </c>
      <c r="M100" s="429">
        <f t="shared" ref="M100:M131" si="19">IF(L100&lt;&gt;0,+H100-L100,0)</f>
        <v>0</v>
      </c>
      <c r="N100" s="443">
        <f t="shared" ref="N100:N105" si="20">I100</f>
        <v>536168.05303368822</v>
      </c>
      <c r="O100" s="358">
        <f t="shared" ref="O100:O131" si="21">IF(N100&lt;&gt;0,+I100-N100,0)</f>
        <v>0</v>
      </c>
      <c r="P100" s="356">
        <f t="shared" ref="P100:P131" si="22">+O100-M100</f>
        <v>0</v>
      </c>
      <c r="Q100" s="1"/>
      <c r="R100" s="1"/>
      <c r="S100" s="1"/>
      <c r="T100" s="1"/>
      <c r="U100" s="1"/>
    </row>
    <row r="101" spans="1:21">
      <c r="B101" t="str">
        <f t="shared" si="17"/>
        <v>IU</v>
      </c>
      <c r="C101" s="155">
        <f>IF(D94="","-",+C100+1)</f>
        <v>2012</v>
      </c>
      <c r="D101" s="373">
        <v>11641161.862068966</v>
      </c>
      <c r="E101" s="375">
        <v>202462.06896551725</v>
      </c>
      <c r="F101" s="377">
        <v>11438699.793103449</v>
      </c>
      <c r="G101" s="377">
        <v>11539930.827586208</v>
      </c>
      <c r="H101" s="375">
        <v>1372027.6470996495</v>
      </c>
      <c r="I101" s="376">
        <v>1372027.6470996495</v>
      </c>
      <c r="J101" s="160">
        <v>0</v>
      </c>
      <c r="K101" s="352"/>
      <c r="L101" s="355">
        <f t="shared" si="18"/>
        <v>1372027.6470996495</v>
      </c>
      <c r="M101" s="160">
        <f t="shared" ref="M101:M106" si="23">IF(L101&lt;&gt;0,+H101-L101,0)</f>
        <v>0</v>
      </c>
      <c r="N101" s="344">
        <f t="shared" si="20"/>
        <v>1372027.6470996495</v>
      </c>
      <c r="O101" s="173">
        <f>IF(N101&lt;&gt;0,+I101-N101,0)</f>
        <v>0</v>
      </c>
      <c r="P101" s="357">
        <f>+O101-M101</f>
        <v>0</v>
      </c>
      <c r="Q101" s="1"/>
      <c r="R101" s="1"/>
      <c r="S101" s="1"/>
      <c r="T101" s="1"/>
      <c r="U101" s="1"/>
    </row>
    <row r="102" spans="1:21">
      <c r="B102" t="str">
        <f t="shared" si="17"/>
        <v/>
      </c>
      <c r="C102" s="155">
        <f>IF(D94="","-",+C101+1)</f>
        <v>2013</v>
      </c>
      <c r="D102" s="373">
        <v>11438699.793103449</v>
      </c>
      <c r="E102" s="375">
        <v>202462.06896551725</v>
      </c>
      <c r="F102" s="377">
        <v>11236237.724137932</v>
      </c>
      <c r="G102" s="377">
        <v>11337468.758620691</v>
      </c>
      <c r="H102" s="375">
        <v>1491078.2600060694</v>
      </c>
      <c r="I102" s="376">
        <v>1491078.2600060694</v>
      </c>
      <c r="J102" s="160">
        <v>0</v>
      </c>
      <c r="K102" s="160"/>
      <c r="L102" s="355">
        <f t="shared" si="18"/>
        <v>1491078.2600060694</v>
      </c>
      <c r="M102" s="160">
        <f t="shared" si="23"/>
        <v>0</v>
      </c>
      <c r="N102" s="344">
        <f t="shared" si="20"/>
        <v>1491078.2600060694</v>
      </c>
      <c r="O102" s="173">
        <f>IF(N102&lt;&gt;0,+I102-N102,0)</f>
        <v>0</v>
      </c>
      <c r="P102" s="357">
        <f>+O102-M102</f>
        <v>0</v>
      </c>
      <c r="Q102" s="1"/>
      <c r="R102" s="1"/>
      <c r="S102" s="1"/>
      <c r="T102" s="1"/>
      <c r="U102" s="1"/>
    </row>
    <row r="103" spans="1:21">
      <c r="B103" t="str">
        <f t="shared" si="17"/>
        <v/>
      </c>
      <c r="C103" s="155">
        <f>IF(D94="","-",+C102+1)</f>
        <v>2014</v>
      </c>
      <c r="D103" s="373">
        <v>11236237.724137932</v>
      </c>
      <c r="E103" s="375">
        <v>202462.06896551725</v>
      </c>
      <c r="F103" s="377">
        <v>11033775.655172415</v>
      </c>
      <c r="G103" s="377">
        <v>11135006.689655174</v>
      </c>
      <c r="H103" s="375">
        <v>1399958.856395772</v>
      </c>
      <c r="I103" s="376">
        <v>1399958.856395772</v>
      </c>
      <c r="J103" s="160">
        <v>0</v>
      </c>
      <c r="K103" s="160"/>
      <c r="L103" s="355">
        <f t="shared" si="18"/>
        <v>1399958.856395772</v>
      </c>
      <c r="M103" s="160">
        <f t="shared" si="23"/>
        <v>0</v>
      </c>
      <c r="N103" s="344">
        <f t="shared" si="20"/>
        <v>1399958.856395772</v>
      </c>
      <c r="O103" s="173">
        <f>IF(N103&lt;&gt;0,+I103-N103,0)</f>
        <v>0</v>
      </c>
      <c r="P103" s="357">
        <f>+O103-M103</f>
        <v>0</v>
      </c>
      <c r="Q103" s="1"/>
      <c r="R103" s="1"/>
      <c r="S103" s="1"/>
      <c r="T103" s="1"/>
      <c r="U103" s="1"/>
    </row>
    <row r="104" spans="1:21">
      <c r="B104" t="str">
        <f t="shared" si="17"/>
        <v>IU</v>
      </c>
      <c r="C104" s="155">
        <f>IF(D94="","-",+C103+1)</f>
        <v>2015</v>
      </c>
      <c r="D104" s="373">
        <v>10329207.655172413</v>
      </c>
      <c r="E104" s="375">
        <v>229963.16666666666</v>
      </c>
      <c r="F104" s="377">
        <v>10099244.488505747</v>
      </c>
      <c r="G104" s="377">
        <v>10214226.071839079</v>
      </c>
      <c r="H104" s="375">
        <v>1367107.118762597</v>
      </c>
      <c r="I104" s="376">
        <v>1367107.118762597</v>
      </c>
      <c r="J104" s="160">
        <v>0</v>
      </c>
      <c r="K104" s="160"/>
      <c r="L104" s="355">
        <f t="shared" si="18"/>
        <v>1367107.118762597</v>
      </c>
      <c r="M104" s="160">
        <f t="shared" si="23"/>
        <v>0</v>
      </c>
      <c r="N104" s="344">
        <f t="shared" si="20"/>
        <v>1367107.118762597</v>
      </c>
      <c r="O104" s="158">
        <f t="shared" si="21"/>
        <v>0</v>
      </c>
      <c r="P104" s="160">
        <f t="shared" si="22"/>
        <v>0</v>
      </c>
      <c r="Q104" s="1"/>
      <c r="R104" s="1"/>
      <c r="S104" s="1"/>
      <c r="T104" s="1"/>
      <c r="U104" s="1"/>
    </row>
    <row r="105" spans="1:21">
      <c r="B105" t="str">
        <f t="shared" si="17"/>
        <v/>
      </c>
      <c r="C105" s="155">
        <f>IF(D94="","-",+C104+1)</f>
        <v>2016</v>
      </c>
      <c r="D105" s="373">
        <v>10099244.488505747</v>
      </c>
      <c r="E105" s="375">
        <v>216435.92156862744</v>
      </c>
      <c r="F105" s="377">
        <v>9882808.5669371206</v>
      </c>
      <c r="G105" s="377">
        <v>9991026.5277214348</v>
      </c>
      <c r="H105" s="375">
        <v>1299158.0653771381</v>
      </c>
      <c r="I105" s="376">
        <v>1299158.0653771381</v>
      </c>
      <c r="J105" s="160">
        <f t="shared" ref="J105:J131" si="24">+I105-H105</f>
        <v>0</v>
      </c>
      <c r="K105" s="160"/>
      <c r="L105" s="355">
        <f t="shared" si="18"/>
        <v>1299158.0653771381</v>
      </c>
      <c r="M105" s="160">
        <f t="shared" si="23"/>
        <v>0</v>
      </c>
      <c r="N105" s="344">
        <f t="shared" si="20"/>
        <v>1299158.0653771381</v>
      </c>
      <c r="O105" s="158">
        <f>IF(N105&lt;&gt;0,+I105-N105,0)</f>
        <v>0</v>
      </c>
      <c r="P105" s="160">
        <f>+O105-M105</f>
        <v>0</v>
      </c>
      <c r="Q105" s="1"/>
      <c r="R105" s="1"/>
      <c r="S105" s="1"/>
      <c r="T105" s="1"/>
      <c r="U105" s="1"/>
    </row>
    <row r="106" spans="1:21">
      <c r="B106" t="str">
        <f t="shared" si="17"/>
        <v/>
      </c>
      <c r="C106" s="155">
        <f>IF(D94="","-",+C105+1)</f>
        <v>2017</v>
      </c>
      <c r="D106" s="373">
        <v>9882808.5669371206</v>
      </c>
      <c r="E106" s="375">
        <v>275955.8</v>
      </c>
      <c r="F106" s="377">
        <v>9606852.7669371199</v>
      </c>
      <c r="G106" s="377">
        <v>9744830.6669371203</v>
      </c>
      <c r="H106" s="375">
        <v>1419373.9279001462</v>
      </c>
      <c r="I106" s="376">
        <v>1419373.9279001462</v>
      </c>
      <c r="J106" s="160">
        <v>0</v>
      </c>
      <c r="K106" s="160"/>
      <c r="L106" s="355">
        <f>H106</f>
        <v>1419373.9279001462</v>
      </c>
      <c r="M106" s="160">
        <f t="shared" si="23"/>
        <v>0</v>
      </c>
      <c r="N106" s="344">
        <f>I106</f>
        <v>1419373.9279001462</v>
      </c>
      <c r="O106" s="158">
        <f>IF(N106&lt;&gt;0,+I106-N106,0)</f>
        <v>0</v>
      </c>
      <c r="P106" s="160">
        <f>+O106-M106</f>
        <v>0</v>
      </c>
      <c r="Q106" s="1"/>
      <c r="R106" s="1"/>
      <c r="S106" s="1"/>
      <c r="T106" s="1"/>
      <c r="U106" s="1"/>
    </row>
    <row r="107" spans="1:21">
      <c r="B107" t="str">
        <f t="shared" si="17"/>
        <v/>
      </c>
      <c r="C107" s="155">
        <f>IF(D94="","-",+C106+1)</f>
        <v>2018</v>
      </c>
      <c r="D107" s="156">
        <f>IF(F106+SUM(E$100:E106)=D$93,F106,D$93-SUM(E$100:E106))</f>
        <v>9606852.7669371199</v>
      </c>
      <c r="E107" s="162">
        <f>IF(+J97&lt;F106,J97,D107)</f>
        <v>306617.55555555556</v>
      </c>
      <c r="F107" s="161">
        <f t="shared" ref="F107:F132" si="25">+D107-E107</f>
        <v>9300235.2113815639</v>
      </c>
      <c r="G107" s="161">
        <f t="shared" ref="G107:G131" si="26">+(F107+D107)/2</f>
        <v>9453543.9891593419</v>
      </c>
      <c r="H107" s="165">
        <f t="shared" ref="H107:H131" si="27">+J$95*G107+E107</f>
        <v>1304556.8117171286</v>
      </c>
      <c r="I107" s="299">
        <f t="shared" ref="I107:I131" si="28">+J$96*G107+E107</f>
        <v>1304556.8117171286</v>
      </c>
      <c r="J107" s="160">
        <f t="shared" si="24"/>
        <v>0</v>
      </c>
      <c r="K107" s="160"/>
      <c r="L107" s="316"/>
      <c r="M107" s="160">
        <f t="shared" si="19"/>
        <v>0</v>
      </c>
      <c r="N107" s="316"/>
      <c r="O107" s="160">
        <f t="shared" si="21"/>
        <v>0</v>
      </c>
      <c r="P107" s="160">
        <f t="shared" si="22"/>
        <v>0</v>
      </c>
      <c r="Q107" s="1"/>
      <c r="R107" s="1"/>
      <c r="S107" s="1"/>
      <c r="T107" s="1"/>
      <c r="U107" s="1"/>
    </row>
    <row r="108" spans="1:21">
      <c r="B108" t="str">
        <f t="shared" si="17"/>
        <v/>
      </c>
      <c r="C108" s="155">
        <f>IF(D94="","-",+C107+1)</f>
        <v>2019</v>
      </c>
      <c r="D108" s="156">
        <f>IF(F107+SUM(E$100:E107)=D$93,F107,D$93-SUM(E$100:E107))</f>
        <v>9300235.2113815639</v>
      </c>
      <c r="E108" s="162">
        <f>IF(+J97&lt;F107,J97,D108)</f>
        <v>306617.55555555556</v>
      </c>
      <c r="F108" s="161">
        <f t="shared" si="25"/>
        <v>8993617.6558260079</v>
      </c>
      <c r="G108" s="161">
        <f t="shared" si="26"/>
        <v>9146926.4336037859</v>
      </c>
      <c r="H108" s="165">
        <f t="shared" si="27"/>
        <v>1272189.5116159101</v>
      </c>
      <c r="I108" s="299">
        <f t="shared" si="28"/>
        <v>1272189.5116159101</v>
      </c>
      <c r="J108" s="160">
        <f t="shared" si="24"/>
        <v>0</v>
      </c>
      <c r="K108" s="160"/>
      <c r="L108" s="316"/>
      <c r="M108" s="160">
        <f t="shared" si="19"/>
        <v>0</v>
      </c>
      <c r="N108" s="316"/>
      <c r="O108" s="160">
        <f t="shared" si="21"/>
        <v>0</v>
      </c>
      <c r="P108" s="160">
        <f t="shared" si="22"/>
        <v>0</v>
      </c>
      <c r="Q108" s="1"/>
      <c r="R108" s="1"/>
      <c r="S108" s="1"/>
      <c r="T108" s="1"/>
      <c r="U108" s="1"/>
    </row>
    <row r="109" spans="1:21">
      <c r="B109" t="str">
        <f t="shared" si="17"/>
        <v/>
      </c>
      <c r="C109" s="155">
        <f>IF(D94="","-",+C108+1)</f>
        <v>2020</v>
      </c>
      <c r="D109" s="156">
        <f>IF(F108+SUM(E$100:E108)=D$93,F108,D$93-SUM(E$100:E108))</f>
        <v>8993617.6558260079</v>
      </c>
      <c r="E109" s="162">
        <f>IF(+J97&lt;F108,J97,D109)</f>
        <v>306617.55555555556</v>
      </c>
      <c r="F109" s="161">
        <f t="shared" si="25"/>
        <v>8687000.100270452</v>
      </c>
      <c r="G109" s="161">
        <f t="shared" si="26"/>
        <v>8840308.87804823</v>
      </c>
      <c r="H109" s="165">
        <f t="shared" si="27"/>
        <v>1239822.2115146916</v>
      </c>
      <c r="I109" s="299">
        <f t="shared" si="28"/>
        <v>1239822.2115146916</v>
      </c>
      <c r="J109" s="160">
        <f t="shared" si="24"/>
        <v>0</v>
      </c>
      <c r="K109" s="160"/>
      <c r="L109" s="316"/>
      <c r="M109" s="160">
        <f t="shared" si="19"/>
        <v>0</v>
      </c>
      <c r="N109" s="316"/>
      <c r="O109" s="160">
        <f t="shared" si="21"/>
        <v>0</v>
      </c>
      <c r="P109" s="160">
        <f t="shared" si="22"/>
        <v>0</v>
      </c>
      <c r="Q109" s="1"/>
      <c r="R109" s="1"/>
      <c r="S109" s="1"/>
      <c r="T109" s="1"/>
      <c r="U109" s="1"/>
    </row>
    <row r="110" spans="1:21">
      <c r="B110" t="str">
        <f t="shared" si="17"/>
        <v/>
      </c>
      <c r="C110" s="155">
        <f>IF(D94="","-",+C109+1)</f>
        <v>2021</v>
      </c>
      <c r="D110" s="156">
        <f>IF(F109+SUM(E$100:E109)=D$93,F109,D$93-SUM(E$100:E109))</f>
        <v>8687000.100270452</v>
      </c>
      <c r="E110" s="162">
        <f>IF(+J97&lt;F109,J97,D110)</f>
        <v>306617.55555555556</v>
      </c>
      <c r="F110" s="161">
        <f t="shared" si="25"/>
        <v>8380382.544714896</v>
      </c>
      <c r="G110" s="161">
        <f t="shared" si="26"/>
        <v>8533691.322492674</v>
      </c>
      <c r="H110" s="165">
        <f t="shared" si="27"/>
        <v>1207454.9114134728</v>
      </c>
      <c r="I110" s="299">
        <f t="shared" si="28"/>
        <v>1207454.9114134728</v>
      </c>
      <c r="J110" s="160">
        <f t="shared" si="24"/>
        <v>0</v>
      </c>
      <c r="K110" s="160"/>
      <c r="L110" s="316"/>
      <c r="M110" s="160">
        <f t="shared" si="19"/>
        <v>0</v>
      </c>
      <c r="N110" s="316"/>
      <c r="O110" s="160">
        <f t="shared" si="21"/>
        <v>0</v>
      </c>
      <c r="P110" s="160">
        <f t="shared" si="22"/>
        <v>0</v>
      </c>
      <c r="Q110" s="1"/>
      <c r="R110" s="1"/>
      <c r="S110" s="1"/>
      <c r="T110" s="1"/>
      <c r="U110" s="1"/>
    </row>
    <row r="111" spans="1:21">
      <c r="B111" t="str">
        <f t="shared" si="17"/>
        <v/>
      </c>
      <c r="C111" s="155">
        <f>IF(D94="","-",+C110+1)</f>
        <v>2022</v>
      </c>
      <c r="D111" s="156">
        <f>IF(F110+SUM(E$100:E110)=D$93,F110,D$93-SUM(E$100:E110))</f>
        <v>8380382.544714896</v>
      </c>
      <c r="E111" s="162">
        <f>IF(+J97&lt;F110,J97,D111)</f>
        <v>306617.55555555556</v>
      </c>
      <c r="F111" s="161">
        <f t="shared" si="25"/>
        <v>8073764.98915934</v>
      </c>
      <c r="G111" s="161">
        <f t="shared" si="26"/>
        <v>8227073.766937118</v>
      </c>
      <c r="H111" s="165">
        <f t="shared" si="27"/>
        <v>1175087.6113122543</v>
      </c>
      <c r="I111" s="299">
        <f t="shared" si="28"/>
        <v>1175087.6113122543</v>
      </c>
      <c r="J111" s="160">
        <f t="shared" si="24"/>
        <v>0</v>
      </c>
      <c r="K111" s="160"/>
      <c r="L111" s="316"/>
      <c r="M111" s="160">
        <f t="shared" si="19"/>
        <v>0</v>
      </c>
      <c r="N111" s="316"/>
      <c r="O111" s="160">
        <f t="shared" si="21"/>
        <v>0</v>
      </c>
      <c r="P111" s="160">
        <f t="shared" si="22"/>
        <v>0</v>
      </c>
      <c r="Q111" s="1"/>
      <c r="R111" s="1"/>
      <c r="S111" s="1"/>
      <c r="T111" s="1"/>
      <c r="U111" s="1"/>
    </row>
    <row r="112" spans="1:21">
      <c r="B112" t="str">
        <f t="shared" si="17"/>
        <v/>
      </c>
      <c r="C112" s="155">
        <f>IF(D94="","-",+C111+1)</f>
        <v>2023</v>
      </c>
      <c r="D112" s="156">
        <f>IF(F111+SUM(E$100:E111)=D$93,F111,D$93-SUM(E$100:E111))</f>
        <v>8073764.98915934</v>
      </c>
      <c r="E112" s="162">
        <f>IF(+J97&lt;F111,J97,D112)</f>
        <v>306617.55555555556</v>
      </c>
      <c r="F112" s="161">
        <f t="shared" si="25"/>
        <v>7767147.4336037841</v>
      </c>
      <c r="G112" s="161">
        <f t="shared" si="26"/>
        <v>7920456.2113815621</v>
      </c>
      <c r="H112" s="165">
        <f t="shared" si="27"/>
        <v>1142720.3112110358</v>
      </c>
      <c r="I112" s="299">
        <f t="shared" si="28"/>
        <v>1142720.3112110358</v>
      </c>
      <c r="J112" s="160">
        <f t="shared" si="24"/>
        <v>0</v>
      </c>
      <c r="K112" s="160"/>
      <c r="L112" s="316"/>
      <c r="M112" s="160">
        <f t="shared" si="19"/>
        <v>0</v>
      </c>
      <c r="N112" s="316"/>
      <c r="O112" s="160">
        <f t="shared" si="21"/>
        <v>0</v>
      </c>
      <c r="P112" s="160">
        <f t="shared" si="22"/>
        <v>0</v>
      </c>
      <c r="Q112" s="1"/>
      <c r="R112" s="1"/>
      <c r="S112" s="1"/>
      <c r="T112" s="1"/>
      <c r="U112" s="1"/>
    </row>
    <row r="113" spans="2:21">
      <c r="B113" t="str">
        <f t="shared" si="17"/>
        <v/>
      </c>
      <c r="C113" s="155">
        <f>IF(D94="","-",+C112+1)</f>
        <v>2024</v>
      </c>
      <c r="D113" s="156">
        <f>IF(F112+SUM(E$100:E112)=D$93,F112,D$93-SUM(E$100:E112))</f>
        <v>7767147.4336037841</v>
      </c>
      <c r="E113" s="162">
        <f>IF(+J97&lt;F112,J97,D113)</f>
        <v>306617.55555555556</v>
      </c>
      <c r="F113" s="161">
        <f t="shared" si="25"/>
        <v>7460529.8780482281</v>
      </c>
      <c r="G113" s="161">
        <f t="shared" si="26"/>
        <v>7613838.6558260061</v>
      </c>
      <c r="H113" s="165">
        <f t="shared" si="27"/>
        <v>1110353.0111098173</v>
      </c>
      <c r="I113" s="299">
        <f t="shared" si="28"/>
        <v>1110353.0111098173</v>
      </c>
      <c r="J113" s="160">
        <f t="shared" si="24"/>
        <v>0</v>
      </c>
      <c r="K113" s="160"/>
      <c r="L113" s="316"/>
      <c r="M113" s="160">
        <f t="shared" si="19"/>
        <v>0</v>
      </c>
      <c r="N113" s="316"/>
      <c r="O113" s="160">
        <f t="shared" si="21"/>
        <v>0</v>
      </c>
      <c r="P113" s="160">
        <f t="shared" si="22"/>
        <v>0</v>
      </c>
      <c r="Q113" s="1"/>
      <c r="R113" s="1"/>
      <c r="S113" s="1"/>
      <c r="T113" s="1"/>
      <c r="U113" s="1"/>
    </row>
    <row r="114" spans="2:21">
      <c r="B114" t="str">
        <f t="shared" si="17"/>
        <v/>
      </c>
      <c r="C114" s="155">
        <f>IF(D94="","-",+C113+1)</f>
        <v>2025</v>
      </c>
      <c r="D114" s="156">
        <f>IF(F113+SUM(E$100:E113)=D$93,F113,D$93-SUM(E$100:E113))</f>
        <v>7460529.8780482281</v>
      </c>
      <c r="E114" s="162">
        <f>IF(+J97&lt;F113,J97,D114)</f>
        <v>306617.55555555556</v>
      </c>
      <c r="F114" s="161">
        <f t="shared" si="25"/>
        <v>7153912.3224926721</v>
      </c>
      <c r="G114" s="161">
        <f t="shared" si="26"/>
        <v>7307221.1002704501</v>
      </c>
      <c r="H114" s="165">
        <f t="shared" si="27"/>
        <v>1077985.7110085986</v>
      </c>
      <c r="I114" s="299">
        <f t="shared" si="28"/>
        <v>1077985.7110085986</v>
      </c>
      <c r="J114" s="160">
        <f t="shared" si="24"/>
        <v>0</v>
      </c>
      <c r="K114" s="160"/>
      <c r="L114" s="316"/>
      <c r="M114" s="160">
        <f t="shared" si="19"/>
        <v>0</v>
      </c>
      <c r="N114" s="316"/>
      <c r="O114" s="160">
        <f t="shared" si="21"/>
        <v>0</v>
      </c>
      <c r="P114" s="160">
        <f t="shared" si="22"/>
        <v>0</v>
      </c>
      <c r="Q114" s="1"/>
      <c r="R114" s="1"/>
      <c r="S114" s="1"/>
      <c r="T114" s="1"/>
      <c r="U114" s="1"/>
    </row>
    <row r="115" spans="2:21">
      <c r="B115" t="str">
        <f t="shared" si="17"/>
        <v/>
      </c>
      <c r="C115" s="155">
        <f>IF(D94="","-",+C114+1)</f>
        <v>2026</v>
      </c>
      <c r="D115" s="156">
        <f>IF(F114+SUM(E$100:E114)=D$93,F114,D$93-SUM(E$100:E114))</f>
        <v>7153912.3224926721</v>
      </c>
      <c r="E115" s="162">
        <f>IF(+J97&lt;F114,J97,D115)</f>
        <v>306617.55555555556</v>
      </c>
      <c r="F115" s="161">
        <f t="shared" si="25"/>
        <v>6847294.7669371162</v>
      </c>
      <c r="G115" s="161">
        <f t="shared" si="26"/>
        <v>7000603.5447148941</v>
      </c>
      <c r="H115" s="165">
        <f t="shared" si="27"/>
        <v>1045618.4109073801</v>
      </c>
      <c r="I115" s="299">
        <f t="shared" si="28"/>
        <v>1045618.4109073801</v>
      </c>
      <c r="J115" s="160">
        <f t="shared" si="24"/>
        <v>0</v>
      </c>
      <c r="K115" s="160"/>
      <c r="L115" s="316"/>
      <c r="M115" s="160">
        <f t="shared" si="19"/>
        <v>0</v>
      </c>
      <c r="N115" s="316"/>
      <c r="O115" s="160">
        <f t="shared" si="21"/>
        <v>0</v>
      </c>
      <c r="P115" s="160">
        <f t="shared" si="22"/>
        <v>0</v>
      </c>
      <c r="Q115" s="1"/>
      <c r="R115" s="1"/>
      <c r="S115" s="1"/>
      <c r="T115" s="1"/>
      <c r="U115" s="1"/>
    </row>
    <row r="116" spans="2:21">
      <c r="B116" t="str">
        <f t="shared" si="17"/>
        <v/>
      </c>
      <c r="C116" s="155">
        <f>IF(D94="","-",+C115+1)</f>
        <v>2027</v>
      </c>
      <c r="D116" s="156">
        <f>IF(F115+SUM(E$100:E115)=D$93,F115,D$93-SUM(E$100:E115))</f>
        <v>6847294.7669371162</v>
      </c>
      <c r="E116" s="162">
        <f>IF(+J97&lt;F115,J97,D116)</f>
        <v>306617.55555555556</v>
      </c>
      <c r="F116" s="161">
        <f t="shared" si="25"/>
        <v>6540677.2113815602</v>
      </c>
      <c r="G116" s="161">
        <f t="shared" si="26"/>
        <v>6693985.9891593382</v>
      </c>
      <c r="H116" s="165">
        <f t="shared" si="27"/>
        <v>1013251.1108061615</v>
      </c>
      <c r="I116" s="299">
        <f t="shared" si="28"/>
        <v>1013251.1108061615</v>
      </c>
      <c r="J116" s="160">
        <f t="shared" si="24"/>
        <v>0</v>
      </c>
      <c r="K116" s="160"/>
      <c r="L116" s="316"/>
      <c r="M116" s="160">
        <f t="shared" si="19"/>
        <v>0</v>
      </c>
      <c r="N116" s="316"/>
      <c r="O116" s="160">
        <f t="shared" si="21"/>
        <v>0</v>
      </c>
      <c r="P116" s="160">
        <f t="shared" si="22"/>
        <v>0</v>
      </c>
      <c r="Q116" s="1"/>
      <c r="R116" s="1"/>
      <c r="S116" s="1"/>
      <c r="T116" s="1"/>
      <c r="U116" s="1"/>
    </row>
    <row r="117" spans="2:21">
      <c r="B117" t="str">
        <f t="shared" si="17"/>
        <v/>
      </c>
      <c r="C117" s="155">
        <f>IF(D94="","-",+C116+1)</f>
        <v>2028</v>
      </c>
      <c r="D117" s="156">
        <f>IF(F116+SUM(E$100:E116)=D$93,F116,D$93-SUM(E$100:E116))</f>
        <v>6540677.2113815602</v>
      </c>
      <c r="E117" s="162">
        <f>IF(+J97&lt;F116,J97,D117)</f>
        <v>306617.55555555556</v>
      </c>
      <c r="F117" s="161">
        <f t="shared" si="25"/>
        <v>6234059.6558260042</v>
      </c>
      <c r="G117" s="161">
        <f t="shared" si="26"/>
        <v>6387368.4336037822</v>
      </c>
      <c r="H117" s="165">
        <f t="shared" si="27"/>
        <v>980883.81070494303</v>
      </c>
      <c r="I117" s="299">
        <f t="shared" si="28"/>
        <v>980883.81070494303</v>
      </c>
      <c r="J117" s="160">
        <f t="shared" si="24"/>
        <v>0</v>
      </c>
      <c r="K117" s="160"/>
      <c r="L117" s="316"/>
      <c r="M117" s="160">
        <f t="shared" si="19"/>
        <v>0</v>
      </c>
      <c r="N117" s="316"/>
      <c r="O117" s="160">
        <f t="shared" si="21"/>
        <v>0</v>
      </c>
      <c r="P117" s="160">
        <f t="shared" si="22"/>
        <v>0</v>
      </c>
      <c r="Q117" s="1"/>
      <c r="R117" s="1"/>
      <c r="S117" s="1"/>
      <c r="T117" s="1"/>
      <c r="U117" s="1"/>
    </row>
    <row r="118" spans="2:21">
      <c r="B118" t="str">
        <f t="shared" si="17"/>
        <v/>
      </c>
      <c r="C118" s="155">
        <f>IF(D94="","-",+C117+1)</f>
        <v>2029</v>
      </c>
      <c r="D118" s="156">
        <f>IF(F117+SUM(E$100:E117)=D$93,F117,D$93-SUM(E$100:E117))</f>
        <v>6234059.6558260042</v>
      </c>
      <c r="E118" s="162">
        <f>IF(+J97&lt;F117,J97,D118)</f>
        <v>306617.55555555556</v>
      </c>
      <c r="F118" s="161">
        <f t="shared" si="25"/>
        <v>5927442.1002704483</v>
      </c>
      <c r="G118" s="161">
        <f t="shared" si="26"/>
        <v>6080750.8780482262</v>
      </c>
      <c r="H118" s="165">
        <f t="shared" si="27"/>
        <v>948516.51060372451</v>
      </c>
      <c r="I118" s="299">
        <f t="shared" si="28"/>
        <v>948516.51060372451</v>
      </c>
      <c r="J118" s="160">
        <f t="shared" si="24"/>
        <v>0</v>
      </c>
      <c r="K118" s="160"/>
      <c r="L118" s="316"/>
      <c r="M118" s="160">
        <f t="shared" si="19"/>
        <v>0</v>
      </c>
      <c r="N118" s="316"/>
      <c r="O118" s="160">
        <f t="shared" si="21"/>
        <v>0</v>
      </c>
      <c r="P118" s="160">
        <f t="shared" si="22"/>
        <v>0</v>
      </c>
      <c r="Q118" s="1"/>
      <c r="R118" s="1"/>
      <c r="S118" s="1"/>
      <c r="T118" s="1"/>
      <c r="U118" s="1"/>
    </row>
    <row r="119" spans="2:21">
      <c r="B119" t="str">
        <f t="shared" si="17"/>
        <v/>
      </c>
      <c r="C119" s="155">
        <f>IF(D94="","-",+C118+1)</f>
        <v>2030</v>
      </c>
      <c r="D119" s="156">
        <f>IF(F118+SUM(E$100:E118)=D$93,F118,D$93-SUM(E$100:E118))</f>
        <v>5927442.1002704483</v>
      </c>
      <c r="E119" s="162">
        <f>IF(+J97&lt;F118,J97,D119)</f>
        <v>306617.55555555556</v>
      </c>
      <c r="F119" s="161">
        <f t="shared" si="25"/>
        <v>5620824.5447148923</v>
      </c>
      <c r="G119" s="161">
        <f t="shared" si="26"/>
        <v>5774133.3224926703</v>
      </c>
      <c r="H119" s="165">
        <f t="shared" si="27"/>
        <v>916149.21050250577</v>
      </c>
      <c r="I119" s="299">
        <f t="shared" si="28"/>
        <v>916149.21050250577</v>
      </c>
      <c r="J119" s="160">
        <f t="shared" si="24"/>
        <v>0</v>
      </c>
      <c r="K119" s="160"/>
      <c r="L119" s="316"/>
      <c r="M119" s="160">
        <f t="shared" si="19"/>
        <v>0</v>
      </c>
      <c r="N119" s="316"/>
      <c r="O119" s="160">
        <f t="shared" si="21"/>
        <v>0</v>
      </c>
      <c r="P119" s="160">
        <f t="shared" si="22"/>
        <v>0</v>
      </c>
      <c r="Q119" s="1"/>
      <c r="R119" s="1"/>
      <c r="S119" s="1"/>
      <c r="T119" s="1"/>
      <c r="U119" s="1"/>
    </row>
    <row r="120" spans="2:21">
      <c r="B120" t="str">
        <f t="shared" si="17"/>
        <v/>
      </c>
      <c r="C120" s="155">
        <f>IF(D94="","-",+C119+1)</f>
        <v>2031</v>
      </c>
      <c r="D120" s="156">
        <f>IF(F119+SUM(E$100:E119)=D$93,F119,D$93-SUM(E$100:E119))</f>
        <v>5620824.5447148923</v>
      </c>
      <c r="E120" s="162">
        <f>IF(+J97&lt;F119,J97,D120)</f>
        <v>306617.55555555556</v>
      </c>
      <c r="F120" s="161">
        <f t="shared" si="25"/>
        <v>5314206.9891593363</v>
      </c>
      <c r="G120" s="161">
        <f t="shared" si="26"/>
        <v>5467515.7669371143</v>
      </c>
      <c r="H120" s="165">
        <f t="shared" si="27"/>
        <v>883781.91040128726</v>
      </c>
      <c r="I120" s="299">
        <f t="shared" si="28"/>
        <v>883781.91040128726</v>
      </c>
      <c r="J120" s="160">
        <f t="shared" si="24"/>
        <v>0</v>
      </c>
      <c r="K120" s="160"/>
      <c r="L120" s="316"/>
      <c r="M120" s="160">
        <f t="shared" si="19"/>
        <v>0</v>
      </c>
      <c r="N120" s="316"/>
      <c r="O120" s="160">
        <f t="shared" si="21"/>
        <v>0</v>
      </c>
      <c r="P120" s="160">
        <f t="shared" si="22"/>
        <v>0</v>
      </c>
      <c r="Q120" s="1"/>
      <c r="R120" s="1"/>
      <c r="S120" s="1"/>
      <c r="T120" s="1"/>
      <c r="U120" s="1"/>
    </row>
    <row r="121" spans="2:21">
      <c r="B121" t="str">
        <f t="shared" si="17"/>
        <v/>
      </c>
      <c r="C121" s="155">
        <f>IF(D94="","-",+C120+1)</f>
        <v>2032</v>
      </c>
      <c r="D121" s="156">
        <f>IF(F120+SUM(E$100:E120)=D$93,F120,D$93-SUM(E$100:E120))</f>
        <v>5314206.9891593363</v>
      </c>
      <c r="E121" s="162">
        <f>IF(+J97&lt;F120,J97,D121)</f>
        <v>306617.55555555556</v>
      </c>
      <c r="F121" s="161">
        <f t="shared" si="25"/>
        <v>5007589.4336037803</v>
      </c>
      <c r="G121" s="161">
        <f t="shared" si="26"/>
        <v>5160898.2113815583</v>
      </c>
      <c r="H121" s="165">
        <f t="shared" si="27"/>
        <v>851414.61030006874</v>
      </c>
      <c r="I121" s="299">
        <f t="shared" si="28"/>
        <v>851414.61030006874</v>
      </c>
      <c r="J121" s="160">
        <f t="shared" si="24"/>
        <v>0</v>
      </c>
      <c r="K121" s="160"/>
      <c r="L121" s="316"/>
      <c r="M121" s="160">
        <f t="shared" si="19"/>
        <v>0</v>
      </c>
      <c r="N121" s="316"/>
      <c r="O121" s="160">
        <f t="shared" si="21"/>
        <v>0</v>
      </c>
      <c r="P121" s="160">
        <f t="shared" si="22"/>
        <v>0</v>
      </c>
      <c r="Q121" s="1"/>
      <c r="R121" s="1"/>
      <c r="S121" s="1"/>
      <c r="T121" s="1"/>
      <c r="U121" s="1"/>
    </row>
    <row r="122" spans="2:21">
      <c r="B122" t="str">
        <f t="shared" si="17"/>
        <v/>
      </c>
      <c r="C122" s="155">
        <f>IF(D94="","-",+C121+1)</f>
        <v>2033</v>
      </c>
      <c r="D122" s="156">
        <f>IF(F121+SUM(E$100:E121)=D$93,F121,D$93-SUM(E$100:E121))</f>
        <v>5007589.4336037803</v>
      </c>
      <c r="E122" s="162">
        <f>IF(+J97&lt;F121,J97,D122)</f>
        <v>306617.55555555556</v>
      </c>
      <c r="F122" s="161">
        <f t="shared" si="25"/>
        <v>4700971.8780482244</v>
      </c>
      <c r="G122" s="161">
        <f t="shared" si="26"/>
        <v>4854280.6558260024</v>
      </c>
      <c r="H122" s="165">
        <f t="shared" si="27"/>
        <v>819047.31019885011</v>
      </c>
      <c r="I122" s="299">
        <f t="shared" si="28"/>
        <v>819047.31019885011</v>
      </c>
      <c r="J122" s="160">
        <f t="shared" si="24"/>
        <v>0</v>
      </c>
      <c r="K122" s="160"/>
      <c r="L122" s="316"/>
      <c r="M122" s="160">
        <f t="shared" si="19"/>
        <v>0</v>
      </c>
      <c r="N122" s="316"/>
      <c r="O122" s="160">
        <f t="shared" si="21"/>
        <v>0</v>
      </c>
      <c r="P122" s="160">
        <f t="shared" si="22"/>
        <v>0</v>
      </c>
      <c r="Q122" s="1"/>
      <c r="R122" s="1"/>
      <c r="S122" s="1"/>
      <c r="T122" s="1"/>
      <c r="U122" s="1"/>
    </row>
    <row r="123" spans="2:21">
      <c r="B123" t="str">
        <f t="shared" si="17"/>
        <v/>
      </c>
      <c r="C123" s="155">
        <f>IF(D94="","-",+C122+1)</f>
        <v>2034</v>
      </c>
      <c r="D123" s="156">
        <f>IF(F122+SUM(E$100:E122)=D$93,F122,D$93-SUM(E$100:E122))</f>
        <v>4700971.8780482244</v>
      </c>
      <c r="E123" s="162">
        <f>IF(+J97&lt;F122,J97,D123)</f>
        <v>306617.55555555556</v>
      </c>
      <c r="F123" s="161">
        <f t="shared" si="25"/>
        <v>4394354.3224926684</v>
      </c>
      <c r="G123" s="161">
        <f t="shared" si="26"/>
        <v>4547663.1002704464</v>
      </c>
      <c r="H123" s="165">
        <f t="shared" si="27"/>
        <v>786680.0100976316</v>
      </c>
      <c r="I123" s="299">
        <f t="shared" si="28"/>
        <v>786680.0100976316</v>
      </c>
      <c r="J123" s="160">
        <f t="shared" si="24"/>
        <v>0</v>
      </c>
      <c r="K123" s="160"/>
      <c r="L123" s="316"/>
      <c r="M123" s="160">
        <f t="shared" si="19"/>
        <v>0</v>
      </c>
      <c r="N123" s="316"/>
      <c r="O123" s="160">
        <f t="shared" si="21"/>
        <v>0</v>
      </c>
      <c r="P123" s="160">
        <f t="shared" si="22"/>
        <v>0</v>
      </c>
      <c r="Q123" s="1"/>
      <c r="R123" s="1"/>
      <c r="S123" s="1"/>
      <c r="T123" s="1"/>
      <c r="U123" s="1"/>
    </row>
    <row r="124" spans="2:21">
      <c r="B124" t="str">
        <f t="shared" si="17"/>
        <v/>
      </c>
      <c r="C124" s="155">
        <f>IF(D94="","-",+C123+1)</f>
        <v>2035</v>
      </c>
      <c r="D124" s="156">
        <f>IF(F123+SUM(E$100:E123)=D$93,F123,D$93-SUM(E$100:E123))</f>
        <v>4394354.3224926684</v>
      </c>
      <c r="E124" s="162">
        <f>IF(+J97&lt;F123,J97,D124)</f>
        <v>306617.55555555556</v>
      </c>
      <c r="F124" s="161">
        <f t="shared" si="25"/>
        <v>4087736.7669371129</v>
      </c>
      <c r="G124" s="161">
        <f t="shared" si="26"/>
        <v>4241045.5447148904</v>
      </c>
      <c r="H124" s="165">
        <f t="shared" si="27"/>
        <v>754312.70999641297</v>
      </c>
      <c r="I124" s="299">
        <f t="shared" si="28"/>
        <v>754312.70999641297</v>
      </c>
      <c r="J124" s="160">
        <f t="shared" si="24"/>
        <v>0</v>
      </c>
      <c r="K124" s="160"/>
      <c r="L124" s="316"/>
      <c r="M124" s="160">
        <f t="shared" si="19"/>
        <v>0</v>
      </c>
      <c r="N124" s="316"/>
      <c r="O124" s="160">
        <f t="shared" si="21"/>
        <v>0</v>
      </c>
      <c r="P124" s="160">
        <f t="shared" si="22"/>
        <v>0</v>
      </c>
      <c r="Q124" s="1"/>
      <c r="R124" s="1"/>
      <c r="S124" s="1"/>
      <c r="T124" s="1"/>
      <c r="U124" s="1"/>
    </row>
    <row r="125" spans="2:21">
      <c r="B125" t="str">
        <f t="shared" si="17"/>
        <v/>
      </c>
      <c r="C125" s="155">
        <f>IF(D94="","-",+C124+1)</f>
        <v>2036</v>
      </c>
      <c r="D125" s="156">
        <f>IF(F124+SUM(E$100:E124)=D$93,F124,D$93-SUM(E$100:E124))</f>
        <v>4087736.7669371129</v>
      </c>
      <c r="E125" s="162">
        <f>IF(+J97&lt;F124,J97,D125)</f>
        <v>306617.55555555556</v>
      </c>
      <c r="F125" s="161">
        <f t="shared" si="25"/>
        <v>3781119.2113815574</v>
      </c>
      <c r="G125" s="161">
        <f t="shared" si="26"/>
        <v>3934427.9891593354</v>
      </c>
      <c r="H125" s="165">
        <f t="shared" si="27"/>
        <v>721945.40989519446</v>
      </c>
      <c r="I125" s="299">
        <f t="shared" si="28"/>
        <v>721945.40989519446</v>
      </c>
      <c r="J125" s="160">
        <f t="shared" si="24"/>
        <v>0</v>
      </c>
      <c r="K125" s="160"/>
      <c r="L125" s="316"/>
      <c r="M125" s="160">
        <f t="shared" si="19"/>
        <v>0</v>
      </c>
      <c r="N125" s="316"/>
      <c r="O125" s="160">
        <f t="shared" si="21"/>
        <v>0</v>
      </c>
      <c r="P125" s="160">
        <f t="shared" si="22"/>
        <v>0</v>
      </c>
      <c r="Q125" s="1"/>
      <c r="R125" s="1"/>
      <c r="S125" s="1"/>
      <c r="T125" s="1"/>
      <c r="U125" s="1"/>
    </row>
    <row r="126" spans="2:21">
      <c r="B126" t="str">
        <f t="shared" si="17"/>
        <v/>
      </c>
      <c r="C126" s="155">
        <f>IF(D94="","-",+C125+1)</f>
        <v>2037</v>
      </c>
      <c r="D126" s="156">
        <f>IF(F125+SUM(E$100:E125)=D$93,F125,D$93-SUM(E$100:E125))</f>
        <v>3781119.2113815574</v>
      </c>
      <c r="E126" s="162">
        <f>IF(+J97&lt;F125,J97,D126)</f>
        <v>306617.55555555556</v>
      </c>
      <c r="F126" s="161">
        <f t="shared" si="25"/>
        <v>3474501.6558260019</v>
      </c>
      <c r="G126" s="161">
        <f t="shared" si="26"/>
        <v>3627810.4336037794</v>
      </c>
      <c r="H126" s="165">
        <f t="shared" si="27"/>
        <v>689578.10979397595</v>
      </c>
      <c r="I126" s="299">
        <f t="shared" si="28"/>
        <v>689578.10979397595</v>
      </c>
      <c r="J126" s="160">
        <f t="shared" si="24"/>
        <v>0</v>
      </c>
      <c r="K126" s="160"/>
      <c r="L126" s="316"/>
      <c r="M126" s="160">
        <f t="shared" si="19"/>
        <v>0</v>
      </c>
      <c r="N126" s="316"/>
      <c r="O126" s="160">
        <f t="shared" si="21"/>
        <v>0</v>
      </c>
      <c r="P126" s="160">
        <f t="shared" si="22"/>
        <v>0</v>
      </c>
      <c r="Q126" s="1"/>
      <c r="R126" s="1"/>
      <c r="S126" s="1"/>
      <c r="T126" s="1"/>
      <c r="U126" s="1"/>
    </row>
    <row r="127" spans="2:21">
      <c r="B127" t="str">
        <f t="shared" si="17"/>
        <v/>
      </c>
      <c r="C127" s="155">
        <f>IF(D94="","-",+C126+1)</f>
        <v>2038</v>
      </c>
      <c r="D127" s="156">
        <f>IF(F126+SUM(E$100:E126)=D$93,F126,D$93-SUM(E$100:E126))</f>
        <v>3474501.6558260019</v>
      </c>
      <c r="E127" s="162">
        <f>IF(+J97&lt;F126,J97,D127)</f>
        <v>306617.55555555556</v>
      </c>
      <c r="F127" s="161">
        <f t="shared" si="25"/>
        <v>3167884.1002704464</v>
      </c>
      <c r="G127" s="161">
        <f t="shared" si="26"/>
        <v>3321192.8780482244</v>
      </c>
      <c r="H127" s="165">
        <f t="shared" si="27"/>
        <v>657210.80969275744</v>
      </c>
      <c r="I127" s="299">
        <f t="shared" si="28"/>
        <v>657210.80969275744</v>
      </c>
      <c r="J127" s="160">
        <f t="shared" si="24"/>
        <v>0</v>
      </c>
      <c r="K127" s="160"/>
      <c r="L127" s="316"/>
      <c r="M127" s="160">
        <f t="shared" si="19"/>
        <v>0</v>
      </c>
      <c r="N127" s="316"/>
      <c r="O127" s="160">
        <f t="shared" si="21"/>
        <v>0</v>
      </c>
      <c r="P127" s="160">
        <f t="shared" si="22"/>
        <v>0</v>
      </c>
      <c r="Q127" s="1"/>
      <c r="R127" s="1"/>
      <c r="S127" s="1"/>
      <c r="T127" s="1"/>
      <c r="U127" s="1"/>
    </row>
    <row r="128" spans="2:21">
      <c r="B128" t="str">
        <f t="shared" si="17"/>
        <v/>
      </c>
      <c r="C128" s="155">
        <f>IF(D94="","-",+C127+1)</f>
        <v>2039</v>
      </c>
      <c r="D128" s="156">
        <f>IF(F127+SUM(E$100:E127)=D$93,F127,D$93-SUM(E$100:E127))</f>
        <v>3167884.1002704464</v>
      </c>
      <c r="E128" s="162">
        <f>IF(+J97&lt;F127,J97,D128)</f>
        <v>306617.55555555556</v>
      </c>
      <c r="F128" s="161">
        <f t="shared" si="25"/>
        <v>2861266.5447148909</v>
      </c>
      <c r="G128" s="161">
        <f t="shared" si="26"/>
        <v>3014575.3224926684</v>
      </c>
      <c r="H128" s="165">
        <f t="shared" si="27"/>
        <v>624843.50959153892</v>
      </c>
      <c r="I128" s="299">
        <f t="shared" si="28"/>
        <v>624843.50959153892</v>
      </c>
      <c r="J128" s="160">
        <f t="shared" si="24"/>
        <v>0</v>
      </c>
      <c r="K128" s="160"/>
      <c r="L128" s="316"/>
      <c r="M128" s="160">
        <f t="shared" si="19"/>
        <v>0</v>
      </c>
      <c r="N128" s="316"/>
      <c r="O128" s="160">
        <f t="shared" si="21"/>
        <v>0</v>
      </c>
      <c r="P128" s="160">
        <f t="shared" si="22"/>
        <v>0</v>
      </c>
      <c r="Q128" s="1"/>
      <c r="R128" s="1"/>
      <c r="S128" s="1"/>
      <c r="T128" s="1"/>
      <c r="U128" s="1"/>
    </row>
    <row r="129" spans="2:21">
      <c r="B129" t="str">
        <f t="shared" si="17"/>
        <v/>
      </c>
      <c r="C129" s="155">
        <f>IF(D94="","-",+C128+1)</f>
        <v>2040</v>
      </c>
      <c r="D129" s="156">
        <f>IF(F128+SUM(E$100:E128)=D$93,F128,D$93-SUM(E$100:E128))</f>
        <v>2861266.5447148909</v>
      </c>
      <c r="E129" s="162">
        <f>IF(+J97&lt;F128,J97,D129)</f>
        <v>306617.55555555556</v>
      </c>
      <c r="F129" s="161">
        <f t="shared" si="25"/>
        <v>2554648.9891593354</v>
      </c>
      <c r="G129" s="161">
        <f t="shared" si="26"/>
        <v>2707957.7669371134</v>
      </c>
      <c r="H129" s="165">
        <f t="shared" si="27"/>
        <v>592476.20949032041</v>
      </c>
      <c r="I129" s="299">
        <f t="shared" si="28"/>
        <v>592476.20949032041</v>
      </c>
      <c r="J129" s="160">
        <f t="shared" si="24"/>
        <v>0</v>
      </c>
      <c r="K129" s="160"/>
      <c r="L129" s="316"/>
      <c r="M129" s="160">
        <f t="shared" si="19"/>
        <v>0</v>
      </c>
      <c r="N129" s="316"/>
      <c r="O129" s="160">
        <f t="shared" si="21"/>
        <v>0</v>
      </c>
      <c r="P129" s="160">
        <f t="shared" si="22"/>
        <v>0</v>
      </c>
      <c r="Q129" s="1"/>
      <c r="R129" s="1"/>
      <c r="S129" s="1"/>
      <c r="T129" s="1"/>
      <c r="U129" s="1"/>
    </row>
    <row r="130" spans="2:21">
      <c r="B130" t="str">
        <f t="shared" si="17"/>
        <v/>
      </c>
      <c r="C130" s="155">
        <f>IF(D94="","-",+C129+1)</f>
        <v>2041</v>
      </c>
      <c r="D130" s="156">
        <f>IF(F129+SUM(E$100:E129)=D$93,F129,D$93-SUM(E$100:E129))</f>
        <v>2554648.9891593354</v>
      </c>
      <c r="E130" s="162">
        <f>IF(+J97&lt;F129,J97,D130)</f>
        <v>306617.55555555556</v>
      </c>
      <c r="F130" s="161">
        <f t="shared" si="25"/>
        <v>2248031.4336037799</v>
      </c>
      <c r="G130" s="161">
        <f t="shared" si="26"/>
        <v>2401340.2113815574</v>
      </c>
      <c r="H130" s="165">
        <f t="shared" si="27"/>
        <v>560108.9093891019</v>
      </c>
      <c r="I130" s="299">
        <f t="shared" si="28"/>
        <v>560108.9093891019</v>
      </c>
      <c r="J130" s="160">
        <f t="shared" si="24"/>
        <v>0</v>
      </c>
      <c r="K130" s="160"/>
      <c r="L130" s="316"/>
      <c r="M130" s="160">
        <f t="shared" si="19"/>
        <v>0</v>
      </c>
      <c r="N130" s="316"/>
      <c r="O130" s="160">
        <f t="shared" si="21"/>
        <v>0</v>
      </c>
      <c r="P130" s="160">
        <f t="shared" si="22"/>
        <v>0</v>
      </c>
      <c r="Q130" s="1"/>
      <c r="R130" s="1"/>
      <c r="S130" s="1"/>
      <c r="T130" s="1"/>
      <c r="U130" s="1"/>
    </row>
    <row r="131" spans="2:21">
      <c r="B131" t="str">
        <f t="shared" si="17"/>
        <v/>
      </c>
      <c r="C131" s="155">
        <f>IF(D94="","-",+C130+1)</f>
        <v>2042</v>
      </c>
      <c r="D131" s="156">
        <f>IF(F130+SUM(E$100:E130)=D$93,F130,D$93-SUM(E$100:E130))</f>
        <v>2248031.4336037799</v>
      </c>
      <c r="E131" s="162">
        <f>IF(+J97&lt;F130,J97,D131)</f>
        <v>306617.55555555556</v>
      </c>
      <c r="F131" s="161">
        <f t="shared" si="25"/>
        <v>1941413.8780482244</v>
      </c>
      <c r="G131" s="161">
        <f t="shared" si="26"/>
        <v>2094722.6558260021</v>
      </c>
      <c r="H131" s="165">
        <f t="shared" si="27"/>
        <v>527741.60928788339</v>
      </c>
      <c r="I131" s="299">
        <f t="shared" si="28"/>
        <v>527741.60928788339</v>
      </c>
      <c r="J131" s="160">
        <f t="shared" si="24"/>
        <v>0</v>
      </c>
      <c r="K131" s="160"/>
      <c r="L131" s="316"/>
      <c r="M131" s="160">
        <f t="shared" si="19"/>
        <v>0</v>
      </c>
      <c r="N131" s="316"/>
      <c r="O131" s="160">
        <f t="shared" si="21"/>
        <v>0</v>
      </c>
      <c r="P131" s="160">
        <f t="shared" si="22"/>
        <v>0</v>
      </c>
      <c r="Q131" s="1"/>
      <c r="R131" s="1"/>
      <c r="S131" s="1"/>
      <c r="T131" s="1"/>
      <c r="U131" s="1"/>
    </row>
    <row r="132" spans="2:21">
      <c r="B132" t="str">
        <f t="shared" ref="B132:B155" si="29">IF(D132=F131,"","IU")</f>
        <v/>
      </c>
      <c r="C132" s="155">
        <f>IF(D94="","-",+C131+1)</f>
        <v>2043</v>
      </c>
      <c r="D132" s="156">
        <f>IF(F131+SUM(E$100:E131)=D$93,F131,D$93-SUM(E$100:E131))</f>
        <v>1941413.8780482244</v>
      </c>
      <c r="E132" s="162">
        <f>IF(+J97&lt;F131,J97,D132)</f>
        <v>306617.55555555556</v>
      </c>
      <c r="F132" s="161">
        <f t="shared" si="25"/>
        <v>1634796.3224926689</v>
      </c>
      <c r="G132" s="161">
        <f t="shared" ref="G132:G155" si="30">+(F132+D132)/2</f>
        <v>1788105.1002704466</v>
      </c>
      <c r="H132" s="165">
        <f t="shared" ref="H132:H155" si="31">+J$95*G132+E132</f>
        <v>495374.30918666488</v>
      </c>
      <c r="I132" s="299">
        <f t="shared" ref="I132:I155" si="32">+J$96*G132+E132</f>
        <v>495374.30918666488</v>
      </c>
      <c r="J132" s="160">
        <f t="shared" ref="J132:J155" si="33">+I132-H132</f>
        <v>0</v>
      </c>
      <c r="K132" s="160"/>
      <c r="L132" s="316"/>
      <c r="M132" s="160">
        <f t="shared" ref="M132:M155" si="34">IF(L132&lt;&gt;0,+H132-L132,0)</f>
        <v>0</v>
      </c>
      <c r="N132" s="316"/>
      <c r="O132" s="160">
        <f t="shared" ref="O132:O155" si="35">IF(N132&lt;&gt;0,+I132-N132,0)</f>
        <v>0</v>
      </c>
      <c r="P132" s="160">
        <f t="shared" ref="P132:P155" si="36">+O132-M132</f>
        <v>0</v>
      </c>
      <c r="Q132" s="1"/>
      <c r="R132" s="1"/>
      <c r="S132" s="1"/>
      <c r="T132" s="1"/>
      <c r="U132" s="1"/>
    </row>
    <row r="133" spans="2:21">
      <c r="B133" t="str">
        <f t="shared" si="29"/>
        <v/>
      </c>
      <c r="C133" s="155">
        <f>IF(D94="","-",+C132+1)</f>
        <v>2044</v>
      </c>
      <c r="D133" s="156">
        <f>IF(F132+SUM(E$100:E132)=D$93,F132,D$93-SUM(E$100:E132))</f>
        <v>1634796.3224926689</v>
      </c>
      <c r="E133" s="162">
        <f>IF(+J97&lt;F132,J97,D133)</f>
        <v>306617.55555555556</v>
      </c>
      <c r="F133" s="161">
        <f t="shared" ref="F133:F155" si="37">+D133-E133</f>
        <v>1328178.7669371134</v>
      </c>
      <c r="G133" s="161">
        <f t="shared" si="30"/>
        <v>1481487.5447148911</v>
      </c>
      <c r="H133" s="165">
        <f t="shared" si="31"/>
        <v>463007.00908544636</v>
      </c>
      <c r="I133" s="299">
        <f t="shared" si="32"/>
        <v>463007.00908544636</v>
      </c>
      <c r="J133" s="160">
        <f t="shared" si="33"/>
        <v>0</v>
      </c>
      <c r="K133" s="160"/>
      <c r="L133" s="316"/>
      <c r="M133" s="160">
        <f t="shared" si="34"/>
        <v>0</v>
      </c>
      <c r="N133" s="316"/>
      <c r="O133" s="160">
        <f t="shared" si="35"/>
        <v>0</v>
      </c>
      <c r="P133" s="160">
        <f t="shared" si="36"/>
        <v>0</v>
      </c>
      <c r="Q133" s="1"/>
      <c r="R133" s="1"/>
      <c r="S133" s="1"/>
      <c r="T133" s="1"/>
      <c r="U133" s="1"/>
    </row>
    <row r="134" spans="2:21">
      <c r="B134" t="str">
        <f t="shared" si="29"/>
        <v/>
      </c>
      <c r="C134" s="155">
        <f>IF(D94="","-",+C133+1)</f>
        <v>2045</v>
      </c>
      <c r="D134" s="156">
        <f>IF(F133+SUM(E$100:E133)=D$93,F133,D$93-SUM(E$100:E133))</f>
        <v>1328178.7669371134</v>
      </c>
      <c r="E134" s="162">
        <f>IF(+J97&lt;F133,J97,D134)</f>
        <v>306617.55555555556</v>
      </c>
      <c r="F134" s="161">
        <f t="shared" si="37"/>
        <v>1021561.2113815579</v>
      </c>
      <c r="G134" s="161">
        <f t="shared" si="30"/>
        <v>1174869.9891593356</v>
      </c>
      <c r="H134" s="165">
        <f t="shared" si="31"/>
        <v>430639.70898422785</v>
      </c>
      <c r="I134" s="299">
        <f t="shared" si="32"/>
        <v>430639.70898422785</v>
      </c>
      <c r="J134" s="160">
        <f t="shared" si="33"/>
        <v>0</v>
      </c>
      <c r="K134" s="160"/>
      <c r="L134" s="316"/>
      <c r="M134" s="160">
        <f t="shared" si="34"/>
        <v>0</v>
      </c>
      <c r="N134" s="316"/>
      <c r="O134" s="160">
        <f t="shared" si="35"/>
        <v>0</v>
      </c>
      <c r="P134" s="160">
        <f t="shared" si="36"/>
        <v>0</v>
      </c>
      <c r="Q134" s="1"/>
      <c r="R134" s="1"/>
      <c r="S134" s="1"/>
      <c r="T134" s="1"/>
      <c r="U134" s="1"/>
    </row>
    <row r="135" spans="2:21">
      <c r="B135" t="str">
        <f t="shared" si="29"/>
        <v/>
      </c>
      <c r="C135" s="155">
        <f>IF(D94="","-",+C134+1)</f>
        <v>2046</v>
      </c>
      <c r="D135" s="156">
        <f>IF(F134+SUM(E$100:E134)=D$93,F134,D$93-SUM(E$100:E134))</f>
        <v>1021561.2113815579</v>
      </c>
      <c r="E135" s="162">
        <f>IF(+J97&lt;F134,J97,D135)</f>
        <v>306617.55555555556</v>
      </c>
      <c r="F135" s="161">
        <f t="shared" si="37"/>
        <v>714943.65582600236</v>
      </c>
      <c r="G135" s="161">
        <f t="shared" si="30"/>
        <v>868252.43360378011</v>
      </c>
      <c r="H135" s="165">
        <f t="shared" si="31"/>
        <v>398272.40888300934</v>
      </c>
      <c r="I135" s="299">
        <f t="shared" si="32"/>
        <v>398272.40888300934</v>
      </c>
      <c r="J135" s="160">
        <f t="shared" si="33"/>
        <v>0</v>
      </c>
      <c r="K135" s="160"/>
      <c r="L135" s="316"/>
      <c r="M135" s="160">
        <f t="shared" si="34"/>
        <v>0</v>
      </c>
      <c r="N135" s="316"/>
      <c r="O135" s="160">
        <f t="shared" si="35"/>
        <v>0</v>
      </c>
      <c r="P135" s="160">
        <f t="shared" si="36"/>
        <v>0</v>
      </c>
      <c r="Q135" s="1"/>
      <c r="R135" s="1"/>
      <c r="S135" s="1"/>
      <c r="T135" s="1"/>
      <c r="U135" s="1"/>
    </row>
    <row r="136" spans="2:21">
      <c r="B136" t="str">
        <f t="shared" si="29"/>
        <v/>
      </c>
      <c r="C136" s="155">
        <f>IF(D94="","-",+C135+1)</f>
        <v>2047</v>
      </c>
      <c r="D136" s="156">
        <f>IF(F135+SUM(E$100:E135)=D$93,F135,D$93-SUM(E$100:E135))</f>
        <v>714943.65582600236</v>
      </c>
      <c r="E136" s="162">
        <f>IF(+J97&lt;F135,J97,D136)</f>
        <v>306617.55555555556</v>
      </c>
      <c r="F136" s="161">
        <f t="shared" si="37"/>
        <v>408326.1002704468</v>
      </c>
      <c r="G136" s="161">
        <f t="shared" si="30"/>
        <v>561634.87804822461</v>
      </c>
      <c r="H136" s="165">
        <f t="shared" si="31"/>
        <v>365905.10878179083</v>
      </c>
      <c r="I136" s="299">
        <f t="shared" si="32"/>
        <v>365905.10878179083</v>
      </c>
      <c r="J136" s="160">
        <f t="shared" si="33"/>
        <v>0</v>
      </c>
      <c r="K136" s="160"/>
      <c r="L136" s="316"/>
      <c r="M136" s="160">
        <f t="shared" si="34"/>
        <v>0</v>
      </c>
      <c r="N136" s="316"/>
      <c r="O136" s="160">
        <f t="shared" si="35"/>
        <v>0</v>
      </c>
      <c r="P136" s="160">
        <f t="shared" si="36"/>
        <v>0</v>
      </c>
      <c r="Q136" s="1"/>
      <c r="R136" s="1"/>
      <c r="S136" s="1"/>
      <c r="T136" s="1"/>
      <c r="U136" s="1"/>
    </row>
    <row r="137" spans="2:21">
      <c r="B137" t="str">
        <f t="shared" si="29"/>
        <v/>
      </c>
      <c r="C137" s="155">
        <f>IF(D94="","-",+C136+1)</f>
        <v>2048</v>
      </c>
      <c r="D137" s="156">
        <f>IF(F136+SUM(E$100:E136)=D$93,F136,D$93-SUM(E$100:E136))</f>
        <v>408326.1002704468</v>
      </c>
      <c r="E137" s="162">
        <f>IF(+J97&lt;F136,J97,D137)</f>
        <v>306617.55555555556</v>
      </c>
      <c r="F137" s="161">
        <f t="shared" si="37"/>
        <v>101708.54471489124</v>
      </c>
      <c r="G137" s="161">
        <f t="shared" si="30"/>
        <v>255017.32249266902</v>
      </c>
      <c r="H137" s="165">
        <f t="shared" si="31"/>
        <v>333537.80868057231</v>
      </c>
      <c r="I137" s="299">
        <f t="shared" si="32"/>
        <v>333537.80868057231</v>
      </c>
      <c r="J137" s="160">
        <f t="shared" si="33"/>
        <v>0</v>
      </c>
      <c r="K137" s="160"/>
      <c r="L137" s="316"/>
      <c r="M137" s="160">
        <f t="shared" si="34"/>
        <v>0</v>
      </c>
      <c r="N137" s="316"/>
      <c r="O137" s="160">
        <f t="shared" si="35"/>
        <v>0</v>
      </c>
      <c r="P137" s="160">
        <f t="shared" si="36"/>
        <v>0</v>
      </c>
      <c r="Q137" s="1"/>
      <c r="R137" s="1"/>
      <c r="S137" s="1"/>
      <c r="T137" s="1"/>
      <c r="U137" s="1"/>
    </row>
    <row r="138" spans="2:21">
      <c r="B138" t="str">
        <f t="shared" si="29"/>
        <v/>
      </c>
      <c r="C138" s="155">
        <f>IF(D94="","-",+C137+1)</f>
        <v>2049</v>
      </c>
      <c r="D138" s="156">
        <f>IF(F137+SUM(E$100:E137)=D$93,F137,D$93-SUM(E$100:E137))</f>
        <v>101708.54471489124</v>
      </c>
      <c r="E138" s="162">
        <f>IF(+J97&lt;F137,J97,D138)</f>
        <v>101708.54471489124</v>
      </c>
      <c r="F138" s="161">
        <f t="shared" si="37"/>
        <v>0</v>
      </c>
      <c r="G138" s="161">
        <f t="shared" si="30"/>
        <v>50854.272357445618</v>
      </c>
      <c r="H138" s="165">
        <f t="shared" si="31"/>
        <v>107076.84625209498</v>
      </c>
      <c r="I138" s="299">
        <f t="shared" si="32"/>
        <v>107076.84625209498</v>
      </c>
      <c r="J138" s="160">
        <f t="shared" si="33"/>
        <v>0</v>
      </c>
      <c r="K138" s="160"/>
      <c r="L138" s="316"/>
      <c r="M138" s="160">
        <f t="shared" si="34"/>
        <v>0</v>
      </c>
      <c r="N138" s="316"/>
      <c r="O138" s="160">
        <f t="shared" si="35"/>
        <v>0</v>
      </c>
      <c r="P138" s="160">
        <f t="shared" si="36"/>
        <v>0</v>
      </c>
      <c r="Q138" s="1"/>
      <c r="R138" s="1"/>
      <c r="S138" s="1"/>
      <c r="T138" s="1"/>
      <c r="U138" s="1"/>
    </row>
    <row r="139" spans="2:21">
      <c r="B139" t="str">
        <f t="shared" si="29"/>
        <v/>
      </c>
      <c r="C139" s="155">
        <f>IF(D94="","-",+C138+1)</f>
        <v>2050</v>
      </c>
      <c r="D139" s="156">
        <f>IF(F138+SUM(E$100:E138)=D$93,F138,D$93-SUM(E$100:E138))</f>
        <v>0</v>
      </c>
      <c r="E139" s="162">
        <f>IF(+J97&lt;F138,J97,D139)</f>
        <v>0</v>
      </c>
      <c r="F139" s="161">
        <f t="shared" si="37"/>
        <v>0</v>
      </c>
      <c r="G139" s="161">
        <f t="shared" si="30"/>
        <v>0</v>
      </c>
      <c r="H139" s="165">
        <f t="shared" si="31"/>
        <v>0</v>
      </c>
      <c r="I139" s="299">
        <f t="shared" si="32"/>
        <v>0</v>
      </c>
      <c r="J139" s="160">
        <f t="shared" si="33"/>
        <v>0</v>
      </c>
      <c r="K139" s="160"/>
      <c r="L139" s="316"/>
      <c r="M139" s="160">
        <f t="shared" si="34"/>
        <v>0</v>
      </c>
      <c r="N139" s="316"/>
      <c r="O139" s="160">
        <f t="shared" si="35"/>
        <v>0</v>
      </c>
      <c r="P139" s="160">
        <f t="shared" si="36"/>
        <v>0</v>
      </c>
      <c r="Q139" s="1"/>
      <c r="R139" s="1"/>
      <c r="S139" s="1"/>
      <c r="T139" s="1"/>
      <c r="U139" s="1"/>
    </row>
    <row r="140" spans="2:21">
      <c r="B140" t="str">
        <f t="shared" si="29"/>
        <v/>
      </c>
      <c r="C140" s="155">
        <f>IF(D94="","-",+C139+1)</f>
        <v>2051</v>
      </c>
      <c r="D140" s="156">
        <f>IF(F139+SUM(E$100:E139)=D$93,F139,D$93-SUM(E$100:E139))</f>
        <v>0</v>
      </c>
      <c r="E140" s="162">
        <f>IF(+J97&lt;F139,J97,D140)</f>
        <v>0</v>
      </c>
      <c r="F140" s="161">
        <f t="shared" si="37"/>
        <v>0</v>
      </c>
      <c r="G140" s="161">
        <f t="shared" si="30"/>
        <v>0</v>
      </c>
      <c r="H140" s="165">
        <f t="shared" si="31"/>
        <v>0</v>
      </c>
      <c r="I140" s="299">
        <f t="shared" si="32"/>
        <v>0</v>
      </c>
      <c r="J140" s="160">
        <f t="shared" si="33"/>
        <v>0</v>
      </c>
      <c r="K140" s="160"/>
      <c r="L140" s="316"/>
      <c r="M140" s="160">
        <f t="shared" si="34"/>
        <v>0</v>
      </c>
      <c r="N140" s="316"/>
      <c r="O140" s="160">
        <f t="shared" si="35"/>
        <v>0</v>
      </c>
      <c r="P140" s="160">
        <f t="shared" si="36"/>
        <v>0</v>
      </c>
      <c r="Q140" s="1"/>
      <c r="R140" s="1"/>
      <c r="S140" s="1"/>
      <c r="T140" s="1"/>
      <c r="U140" s="1"/>
    </row>
    <row r="141" spans="2:21">
      <c r="B141" t="str">
        <f t="shared" si="29"/>
        <v/>
      </c>
      <c r="C141" s="155">
        <f>IF(D94="","-",+C140+1)</f>
        <v>2052</v>
      </c>
      <c r="D141" s="156">
        <f>IF(F140+SUM(E$100:E140)=D$93,F140,D$93-SUM(E$100:E140))</f>
        <v>0</v>
      </c>
      <c r="E141" s="162">
        <f>IF(+J97&lt;F140,J97,D141)</f>
        <v>0</v>
      </c>
      <c r="F141" s="161">
        <f t="shared" si="37"/>
        <v>0</v>
      </c>
      <c r="G141" s="161">
        <f t="shared" si="30"/>
        <v>0</v>
      </c>
      <c r="H141" s="165">
        <f t="shared" si="31"/>
        <v>0</v>
      </c>
      <c r="I141" s="299">
        <f t="shared" si="32"/>
        <v>0</v>
      </c>
      <c r="J141" s="160">
        <f t="shared" si="33"/>
        <v>0</v>
      </c>
      <c r="K141" s="160"/>
      <c r="L141" s="316"/>
      <c r="M141" s="160">
        <f t="shared" si="34"/>
        <v>0</v>
      </c>
      <c r="N141" s="316"/>
      <c r="O141" s="160">
        <f t="shared" si="35"/>
        <v>0</v>
      </c>
      <c r="P141" s="160">
        <f t="shared" si="36"/>
        <v>0</v>
      </c>
      <c r="Q141" s="1"/>
      <c r="R141" s="1"/>
      <c r="S141" s="1"/>
      <c r="T141" s="1"/>
      <c r="U141" s="1"/>
    </row>
    <row r="142" spans="2:21">
      <c r="B142" t="str">
        <f t="shared" si="29"/>
        <v/>
      </c>
      <c r="C142" s="155">
        <f>IF(D94="","-",+C141+1)</f>
        <v>2053</v>
      </c>
      <c r="D142" s="156">
        <f>IF(F141+SUM(E$100:E141)=D$93,F141,D$93-SUM(E$100:E141))</f>
        <v>0</v>
      </c>
      <c r="E142" s="162">
        <f>IF(+J97&lt;F141,J97,D142)</f>
        <v>0</v>
      </c>
      <c r="F142" s="161">
        <f t="shared" si="37"/>
        <v>0</v>
      </c>
      <c r="G142" s="161">
        <f t="shared" si="30"/>
        <v>0</v>
      </c>
      <c r="H142" s="165">
        <f t="shared" si="31"/>
        <v>0</v>
      </c>
      <c r="I142" s="299">
        <f t="shared" si="32"/>
        <v>0</v>
      </c>
      <c r="J142" s="160">
        <f t="shared" si="33"/>
        <v>0</v>
      </c>
      <c r="K142" s="160"/>
      <c r="L142" s="316"/>
      <c r="M142" s="160">
        <f t="shared" si="34"/>
        <v>0</v>
      </c>
      <c r="N142" s="316"/>
      <c r="O142" s="160">
        <f t="shared" si="35"/>
        <v>0</v>
      </c>
      <c r="P142" s="160">
        <f t="shared" si="36"/>
        <v>0</v>
      </c>
      <c r="Q142" s="1"/>
      <c r="R142" s="1"/>
      <c r="S142" s="1"/>
      <c r="T142" s="1"/>
      <c r="U142" s="1"/>
    </row>
    <row r="143" spans="2:21">
      <c r="B143" t="str">
        <f t="shared" si="29"/>
        <v/>
      </c>
      <c r="C143" s="155">
        <f>IF(D94="","-",+C142+1)</f>
        <v>2054</v>
      </c>
      <c r="D143" s="156">
        <f>IF(F142+SUM(E$100:E142)=D$93,F142,D$93-SUM(E$100:E142))</f>
        <v>0</v>
      </c>
      <c r="E143" s="162">
        <f>IF(+J97&lt;F142,J97,D143)</f>
        <v>0</v>
      </c>
      <c r="F143" s="161">
        <f t="shared" si="37"/>
        <v>0</v>
      </c>
      <c r="G143" s="161">
        <f t="shared" si="30"/>
        <v>0</v>
      </c>
      <c r="H143" s="165">
        <f t="shared" si="31"/>
        <v>0</v>
      </c>
      <c r="I143" s="299">
        <f t="shared" si="32"/>
        <v>0</v>
      </c>
      <c r="J143" s="160">
        <f t="shared" si="33"/>
        <v>0</v>
      </c>
      <c r="K143" s="160"/>
      <c r="L143" s="316"/>
      <c r="M143" s="160">
        <f t="shared" si="34"/>
        <v>0</v>
      </c>
      <c r="N143" s="316"/>
      <c r="O143" s="160">
        <f t="shared" si="35"/>
        <v>0</v>
      </c>
      <c r="P143" s="160">
        <f t="shared" si="36"/>
        <v>0</v>
      </c>
      <c r="Q143" s="1"/>
      <c r="R143" s="1"/>
      <c r="S143" s="1"/>
      <c r="T143" s="1"/>
      <c r="U143" s="1"/>
    </row>
    <row r="144" spans="2:21">
      <c r="B144" t="str">
        <f t="shared" si="29"/>
        <v/>
      </c>
      <c r="C144" s="155">
        <f>IF(D94="","-",+C143+1)</f>
        <v>2055</v>
      </c>
      <c r="D144" s="156">
        <f>IF(F143+SUM(E$100:E143)=D$93,F143,D$93-SUM(E$100:E143))</f>
        <v>0</v>
      </c>
      <c r="E144" s="162">
        <f>IF(+J97&lt;F143,J97,D144)</f>
        <v>0</v>
      </c>
      <c r="F144" s="161">
        <f t="shared" si="37"/>
        <v>0</v>
      </c>
      <c r="G144" s="161">
        <f t="shared" si="30"/>
        <v>0</v>
      </c>
      <c r="H144" s="165">
        <f t="shared" si="31"/>
        <v>0</v>
      </c>
      <c r="I144" s="299">
        <f t="shared" si="32"/>
        <v>0</v>
      </c>
      <c r="J144" s="160">
        <f t="shared" si="33"/>
        <v>0</v>
      </c>
      <c r="K144" s="160"/>
      <c r="L144" s="316"/>
      <c r="M144" s="160">
        <f t="shared" si="34"/>
        <v>0</v>
      </c>
      <c r="N144" s="316"/>
      <c r="O144" s="160">
        <f t="shared" si="35"/>
        <v>0</v>
      </c>
      <c r="P144" s="160">
        <f t="shared" si="36"/>
        <v>0</v>
      </c>
      <c r="Q144" s="1"/>
      <c r="R144" s="1"/>
      <c r="S144" s="1"/>
      <c r="T144" s="1"/>
      <c r="U144" s="1"/>
    </row>
    <row r="145" spans="2:21">
      <c r="B145" t="str">
        <f t="shared" si="29"/>
        <v/>
      </c>
      <c r="C145" s="155">
        <f>IF(D94="","-",+C144+1)</f>
        <v>2056</v>
      </c>
      <c r="D145" s="156">
        <f>IF(F144+SUM(E$100:E144)=D$93,F144,D$93-SUM(E$100:E144))</f>
        <v>0</v>
      </c>
      <c r="E145" s="162">
        <f>IF(+J97&lt;F144,J97,D145)</f>
        <v>0</v>
      </c>
      <c r="F145" s="161">
        <f t="shared" si="37"/>
        <v>0</v>
      </c>
      <c r="G145" s="161">
        <f t="shared" si="30"/>
        <v>0</v>
      </c>
      <c r="H145" s="165">
        <f t="shared" si="31"/>
        <v>0</v>
      </c>
      <c r="I145" s="299">
        <f t="shared" si="32"/>
        <v>0</v>
      </c>
      <c r="J145" s="160">
        <f t="shared" si="33"/>
        <v>0</v>
      </c>
      <c r="K145" s="160"/>
      <c r="L145" s="316"/>
      <c r="M145" s="160">
        <f t="shared" si="34"/>
        <v>0</v>
      </c>
      <c r="N145" s="316"/>
      <c r="O145" s="160">
        <f t="shared" si="35"/>
        <v>0</v>
      </c>
      <c r="P145" s="160">
        <f t="shared" si="36"/>
        <v>0</v>
      </c>
      <c r="Q145" s="1"/>
      <c r="R145" s="1"/>
      <c r="S145" s="1"/>
      <c r="T145" s="1"/>
      <c r="U145" s="1"/>
    </row>
    <row r="146" spans="2:21">
      <c r="B146" t="str">
        <f t="shared" si="29"/>
        <v/>
      </c>
      <c r="C146" s="155">
        <f>IF(D94="","-",+C145+1)</f>
        <v>2057</v>
      </c>
      <c r="D146" s="156">
        <f>IF(F145+SUM(E$100:E145)=D$93,F145,D$93-SUM(E$100:E145))</f>
        <v>0</v>
      </c>
      <c r="E146" s="162">
        <f>IF(+J97&lt;F145,J97,D146)</f>
        <v>0</v>
      </c>
      <c r="F146" s="161">
        <f t="shared" si="37"/>
        <v>0</v>
      </c>
      <c r="G146" s="161">
        <f t="shared" si="30"/>
        <v>0</v>
      </c>
      <c r="H146" s="165">
        <f t="shared" si="31"/>
        <v>0</v>
      </c>
      <c r="I146" s="299">
        <f t="shared" si="32"/>
        <v>0</v>
      </c>
      <c r="J146" s="160">
        <f t="shared" si="33"/>
        <v>0</v>
      </c>
      <c r="K146" s="160"/>
      <c r="L146" s="316"/>
      <c r="M146" s="160">
        <f t="shared" si="34"/>
        <v>0</v>
      </c>
      <c r="N146" s="316"/>
      <c r="O146" s="160">
        <f t="shared" si="35"/>
        <v>0</v>
      </c>
      <c r="P146" s="160">
        <f t="shared" si="36"/>
        <v>0</v>
      </c>
      <c r="Q146" s="1"/>
      <c r="R146" s="1"/>
      <c r="S146" s="1"/>
      <c r="T146" s="1"/>
      <c r="U146" s="1"/>
    </row>
    <row r="147" spans="2:21">
      <c r="B147" t="str">
        <f t="shared" si="29"/>
        <v/>
      </c>
      <c r="C147" s="155">
        <f>IF(D94="","-",+C146+1)</f>
        <v>2058</v>
      </c>
      <c r="D147" s="156">
        <f>IF(F146+SUM(E$100:E146)=D$93,F146,D$93-SUM(E$100:E146))</f>
        <v>0</v>
      </c>
      <c r="E147" s="162">
        <f>IF(+J97&lt;F146,J97,D147)</f>
        <v>0</v>
      </c>
      <c r="F147" s="161">
        <f t="shared" si="37"/>
        <v>0</v>
      </c>
      <c r="G147" s="161">
        <f t="shared" si="30"/>
        <v>0</v>
      </c>
      <c r="H147" s="165">
        <f t="shared" si="31"/>
        <v>0</v>
      </c>
      <c r="I147" s="299">
        <f t="shared" si="32"/>
        <v>0</v>
      </c>
      <c r="J147" s="160">
        <f t="shared" si="33"/>
        <v>0</v>
      </c>
      <c r="K147" s="160"/>
      <c r="L147" s="316"/>
      <c r="M147" s="160">
        <f t="shared" si="34"/>
        <v>0</v>
      </c>
      <c r="N147" s="316"/>
      <c r="O147" s="160">
        <f t="shared" si="35"/>
        <v>0</v>
      </c>
      <c r="P147" s="160">
        <f t="shared" si="36"/>
        <v>0</v>
      </c>
      <c r="Q147" s="1"/>
      <c r="R147" s="1"/>
      <c r="S147" s="1"/>
      <c r="T147" s="1"/>
      <c r="U147" s="1"/>
    </row>
    <row r="148" spans="2:21">
      <c r="B148" t="str">
        <f t="shared" si="29"/>
        <v/>
      </c>
      <c r="C148" s="155">
        <f>IF(D94="","-",+C147+1)</f>
        <v>2059</v>
      </c>
      <c r="D148" s="156">
        <f>IF(F147+SUM(E$100:E147)=D$93,F147,D$93-SUM(E$100:E147))</f>
        <v>0</v>
      </c>
      <c r="E148" s="162">
        <f>IF(+J97&lt;F147,J97,D148)</f>
        <v>0</v>
      </c>
      <c r="F148" s="161">
        <f t="shared" si="37"/>
        <v>0</v>
      </c>
      <c r="G148" s="161">
        <f t="shared" si="30"/>
        <v>0</v>
      </c>
      <c r="H148" s="165">
        <f t="shared" si="31"/>
        <v>0</v>
      </c>
      <c r="I148" s="299">
        <f t="shared" si="32"/>
        <v>0</v>
      </c>
      <c r="J148" s="160">
        <f t="shared" si="33"/>
        <v>0</v>
      </c>
      <c r="K148" s="160"/>
      <c r="L148" s="316"/>
      <c r="M148" s="160">
        <f t="shared" si="34"/>
        <v>0</v>
      </c>
      <c r="N148" s="316"/>
      <c r="O148" s="160">
        <f t="shared" si="35"/>
        <v>0</v>
      </c>
      <c r="P148" s="160">
        <f t="shared" si="36"/>
        <v>0</v>
      </c>
      <c r="Q148" s="1"/>
      <c r="R148" s="1"/>
      <c r="S148" s="1"/>
      <c r="T148" s="1"/>
      <c r="U148" s="1"/>
    </row>
    <row r="149" spans="2:21">
      <c r="B149" t="str">
        <f t="shared" si="29"/>
        <v/>
      </c>
      <c r="C149" s="155">
        <f>IF(D94="","-",+C148+1)</f>
        <v>2060</v>
      </c>
      <c r="D149" s="156">
        <f>IF(F148+SUM(E$100:E148)=D$93,F148,D$93-SUM(E$100:E148))</f>
        <v>0</v>
      </c>
      <c r="E149" s="162">
        <f>IF(+J97&lt;F148,J97,D149)</f>
        <v>0</v>
      </c>
      <c r="F149" s="161">
        <f t="shared" si="37"/>
        <v>0</v>
      </c>
      <c r="G149" s="161">
        <f t="shared" si="30"/>
        <v>0</v>
      </c>
      <c r="H149" s="165">
        <f t="shared" si="31"/>
        <v>0</v>
      </c>
      <c r="I149" s="299">
        <f t="shared" si="32"/>
        <v>0</v>
      </c>
      <c r="J149" s="160">
        <f t="shared" si="33"/>
        <v>0</v>
      </c>
      <c r="K149" s="160"/>
      <c r="L149" s="316"/>
      <c r="M149" s="160">
        <f t="shared" si="34"/>
        <v>0</v>
      </c>
      <c r="N149" s="316"/>
      <c r="O149" s="160">
        <f t="shared" si="35"/>
        <v>0</v>
      </c>
      <c r="P149" s="160">
        <f t="shared" si="36"/>
        <v>0</v>
      </c>
      <c r="Q149" s="1"/>
      <c r="R149" s="1"/>
      <c r="S149" s="1"/>
      <c r="T149" s="1"/>
      <c r="U149" s="1"/>
    </row>
    <row r="150" spans="2:21">
      <c r="B150" t="str">
        <f t="shared" si="29"/>
        <v/>
      </c>
      <c r="C150" s="155">
        <f>IF(D94="","-",+C149+1)</f>
        <v>2061</v>
      </c>
      <c r="D150" s="156">
        <f>IF(F149+SUM(E$100:E149)=D$93,F149,D$93-SUM(E$100:E149))</f>
        <v>0</v>
      </c>
      <c r="E150" s="162">
        <f>IF(+J97&lt;F149,J97,D150)</f>
        <v>0</v>
      </c>
      <c r="F150" s="161">
        <f t="shared" si="37"/>
        <v>0</v>
      </c>
      <c r="G150" s="161">
        <f t="shared" si="30"/>
        <v>0</v>
      </c>
      <c r="H150" s="165">
        <f t="shared" si="31"/>
        <v>0</v>
      </c>
      <c r="I150" s="299">
        <f t="shared" si="32"/>
        <v>0</v>
      </c>
      <c r="J150" s="160">
        <f t="shared" si="33"/>
        <v>0</v>
      </c>
      <c r="K150" s="160"/>
      <c r="L150" s="316"/>
      <c r="M150" s="160">
        <f t="shared" si="34"/>
        <v>0</v>
      </c>
      <c r="N150" s="316"/>
      <c r="O150" s="160">
        <f t="shared" si="35"/>
        <v>0</v>
      </c>
      <c r="P150" s="160">
        <f t="shared" si="36"/>
        <v>0</v>
      </c>
      <c r="Q150" s="1"/>
      <c r="R150" s="1"/>
      <c r="S150" s="1"/>
      <c r="T150" s="1"/>
      <c r="U150" s="1"/>
    </row>
    <row r="151" spans="2:21">
      <c r="B151" t="str">
        <f t="shared" si="29"/>
        <v/>
      </c>
      <c r="C151" s="155">
        <f>IF(D94="","-",+C150+1)</f>
        <v>2062</v>
      </c>
      <c r="D151" s="156">
        <f>IF(F150+SUM(E$100:E150)=D$93,F150,D$93-SUM(E$100:E150))</f>
        <v>0</v>
      </c>
      <c r="E151" s="162">
        <f>IF(+J97&lt;F150,J97,D151)</f>
        <v>0</v>
      </c>
      <c r="F151" s="161">
        <f t="shared" si="37"/>
        <v>0</v>
      </c>
      <c r="G151" s="161">
        <f t="shared" si="30"/>
        <v>0</v>
      </c>
      <c r="H151" s="165">
        <f t="shared" si="31"/>
        <v>0</v>
      </c>
      <c r="I151" s="299">
        <f t="shared" si="32"/>
        <v>0</v>
      </c>
      <c r="J151" s="160">
        <f t="shared" si="33"/>
        <v>0</v>
      </c>
      <c r="K151" s="160"/>
      <c r="L151" s="316"/>
      <c r="M151" s="160">
        <f t="shared" si="34"/>
        <v>0</v>
      </c>
      <c r="N151" s="316"/>
      <c r="O151" s="160">
        <f t="shared" si="35"/>
        <v>0</v>
      </c>
      <c r="P151" s="160">
        <f t="shared" si="36"/>
        <v>0</v>
      </c>
      <c r="Q151" s="1"/>
      <c r="R151" s="1"/>
      <c r="S151" s="1"/>
      <c r="T151" s="1"/>
      <c r="U151" s="1"/>
    </row>
    <row r="152" spans="2:21">
      <c r="B152" t="str">
        <f t="shared" si="29"/>
        <v/>
      </c>
      <c r="C152" s="155">
        <f>IF(D94="","-",+C151+1)</f>
        <v>2063</v>
      </c>
      <c r="D152" s="156">
        <f>IF(F151+SUM(E$100:E151)=D$93,F151,D$93-SUM(E$100:E151))</f>
        <v>0</v>
      </c>
      <c r="E152" s="162">
        <f>IF(+J97&lt;F151,J97,D152)</f>
        <v>0</v>
      </c>
      <c r="F152" s="161">
        <f t="shared" si="37"/>
        <v>0</v>
      </c>
      <c r="G152" s="161">
        <f t="shared" si="30"/>
        <v>0</v>
      </c>
      <c r="H152" s="165">
        <f t="shared" si="31"/>
        <v>0</v>
      </c>
      <c r="I152" s="299">
        <f t="shared" si="32"/>
        <v>0</v>
      </c>
      <c r="J152" s="160">
        <f t="shared" si="33"/>
        <v>0</v>
      </c>
      <c r="K152" s="160"/>
      <c r="L152" s="316"/>
      <c r="M152" s="160">
        <f t="shared" si="34"/>
        <v>0</v>
      </c>
      <c r="N152" s="316"/>
      <c r="O152" s="160">
        <f t="shared" si="35"/>
        <v>0</v>
      </c>
      <c r="P152" s="160">
        <f t="shared" si="36"/>
        <v>0</v>
      </c>
      <c r="Q152" s="1"/>
      <c r="R152" s="1"/>
      <c r="S152" s="1"/>
      <c r="T152" s="1"/>
      <c r="U152" s="1"/>
    </row>
    <row r="153" spans="2:21">
      <c r="B153" t="str">
        <f t="shared" si="29"/>
        <v/>
      </c>
      <c r="C153" s="155">
        <f>IF(D94="","-",+C152+1)</f>
        <v>2064</v>
      </c>
      <c r="D153" s="156">
        <f>IF(F152+SUM(E$100:E152)=D$93,F152,D$93-SUM(E$100:E152))</f>
        <v>0</v>
      </c>
      <c r="E153" s="162">
        <f>IF(+J97&lt;F152,J97,D153)</f>
        <v>0</v>
      </c>
      <c r="F153" s="161">
        <f t="shared" si="37"/>
        <v>0</v>
      </c>
      <c r="G153" s="161">
        <f t="shared" si="30"/>
        <v>0</v>
      </c>
      <c r="H153" s="165">
        <f t="shared" si="31"/>
        <v>0</v>
      </c>
      <c r="I153" s="299">
        <f t="shared" si="32"/>
        <v>0</v>
      </c>
      <c r="J153" s="160">
        <f t="shared" si="33"/>
        <v>0</v>
      </c>
      <c r="K153" s="160"/>
      <c r="L153" s="316"/>
      <c r="M153" s="160">
        <f t="shared" si="34"/>
        <v>0</v>
      </c>
      <c r="N153" s="316"/>
      <c r="O153" s="160">
        <f t="shared" si="35"/>
        <v>0</v>
      </c>
      <c r="P153" s="160">
        <f t="shared" si="36"/>
        <v>0</v>
      </c>
      <c r="Q153" s="1"/>
      <c r="R153" s="1"/>
      <c r="S153" s="1"/>
      <c r="T153" s="1"/>
      <c r="U153" s="1"/>
    </row>
    <row r="154" spans="2:21">
      <c r="B154" t="str">
        <f t="shared" si="29"/>
        <v/>
      </c>
      <c r="C154" s="155">
        <f>IF(D94="","-",+C153+1)</f>
        <v>2065</v>
      </c>
      <c r="D154" s="156">
        <f>IF(F153+SUM(E$100:E153)=D$93,F153,D$93-SUM(E$100:E153))</f>
        <v>0</v>
      </c>
      <c r="E154" s="162">
        <f>IF(+J97&lt;F153,J97,D154)</f>
        <v>0</v>
      </c>
      <c r="F154" s="161">
        <f t="shared" si="37"/>
        <v>0</v>
      </c>
      <c r="G154" s="161">
        <f t="shared" si="30"/>
        <v>0</v>
      </c>
      <c r="H154" s="165">
        <f t="shared" si="31"/>
        <v>0</v>
      </c>
      <c r="I154" s="299">
        <f t="shared" si="32"/>
        <v>0</v>
      </c>
      <c r="J154" s="160">
        <f t="shared" si="33"/>
        <v>0</v>
      </c>
      <c r="K154" s="160"/>
      <c r="L154" s="316"/>
      <c r="M154" s="160">
        <f t="shared" si="34"/>
        <v>0</v>
      </c>
      <c r="N154" s="316"/>
      <c r="O154" s="160">
        <f t="shared" si="35"/>
        <v>0</v>
      </c>
      <c r="P154" s="160">
        <f t="shared" si="36"/>
        <v>0</v>
      </c>
      <c r="Q154" s="1"/>
      <c r="R154" s="1"/>
      <c r="S154" s="1"/>
      <c r="T154" s="1"/>
      <c r="U154" s="1"/>
    </row>
    <row r="155" spans="2:21" ht="13.5" thickBot="1">
      <c r="B155" t="str">
        <f t="shared" si="29"/>
        <v/>
      </c>
      <c r="C155" s="166">
        <f>IF(D94="","-",+C154+1)</f>
        <v>2066</v>
      </c>
      <c r="D155" s="167">
        <f>IF(F154+SUM(E$100:E154)=D$93,F154,D$93-SUM(E$100:E154))</f>
        <v>0</v>
      </c>
      <c r="E155" s="168">
        <f>IF(+J97&lt;F154,J97,D155)</f>
        <v>0</v>
      </c>
      <c r="F155" s="167">
        <f t="shared" si="37"/>
        <v>0</v>
      </c>
      <c r="G155" s="167">
        <f t="shared" si="30"/>
        <v>0</v>
      </c>
      <c r="H155" s="169">
        <f t="shared" si="31"/>
        <v>0</v>
      </c>
      <c r="I155" s="300">
        <f t="shared" si="32"/>
        <v>0</v>
      </c>
      <c r="J155" s="171">
        <f t="shared" si="33"/>
        <v>0</v>
      </c>
      <c r="K155" s="160"/>
      <c r="L155" s="317"/>
      <c r="M155" s="171">
        <f t="shared" si="34"/>
        <v>0</v>
      </c>
      <c r="N155" s="317"/>
      <c r="O155" s="171">
        <f t="shared" si="35"/>
        <v>0</v>
      </c>
      <c r="P155" s="171">
        <f t="shared" si="36"/>
        <v>0</v>
      </c>
      <c r="Q155" s="1"/>
      <c r="R155" s="1"/>
      <c r="S155" s="1"/>
      <c r="T155" s="1"/>
      <c r="U155" s="1"/>
    </row>
    <row r="156" spans="2:21">
      <c r="C156" s="156" t="s">
        <v>75</v>
      </c>
      <c r="D156" s="112"/>
      <c r="E156" s="112">
        <f>SUM(E100:E155)</f>
        <v>11038232.000000002</v>
      </c>
      <c r="F156" s="112"/>
      <c r="G156" s="112"/>
      <c r="H156" s="112">
        <f>SUM(H100:H155)</f>
        <v>34382415.390991524</v>
      </c>
      <c r="I156" s="112">
        <f>SUM(I100:I155)</f>
        <v>34382415.390991524</v>
      </c>
      <c r="J156" s="112">
        <f>SUM(J100:J155)</f>
        <v>0</v>
      </c>
      <c r="K156" s="112"/>
      <c r="L156" s="112"/>
      <c r="M156" s="112"/>
      <c r="N156" s="112"/>
      <c r="O156" s="112"/>
      <c r="P156" s="1"/>
      <c r="Q156" s="1"/>
      <c r="R156" s="1"/>
      <c r="S156" s="1"/>
      <c r="T156" s="1"/>
      <c r="U156" s="1"/>
    </row>
    <row r="157" spans="2:21">
      <c r="D157" s="2"/>
      <c r="E157" s="1"/>
      <c r="F157" s="1"/>
      <c r="G157" s="1"/>
      <c r="H157" s="1"/>
      <c r="I157" s="3"/>
      <c r="J157" s="3"/>
      <c r="K157" s="112"/>
      <c r="L157" s="3"/>
      <c r="M157" s="3"/>
      <c r="N157" s="3"/>
      <c r="O157" s="3"/>
      <c r="P157" s="1"/>
      <c r="Q157" s="1"/>
      <c r="R157" s="1"/>
      <c r="S157" s="1"/>
      <c r="T157" s="1"/>
      <c r="U157" s="1"/>
    </row>
    <row r="158" spans="2:21">
      <c r="C158" s="215" t="s">
        <v>90</v>
      </c>
      <c r="D158" s="2"/>
      <c r="E158" s="1"/>
      <c r="F158" s="1"/>
      <c r="G158" s="1"/>
      <c r="H158" s="1"/>
      <c r="I158" s="3"/>
      <c r="J158" s="3"/>
      <c r="K158" s="112"/>
      <c r="L158" s="3"/>
      <c r="M158" s="3"/>
      <c r="N158" s="3"/>
      <c r="O158" s="3"/>
      <c r="P158" s="1"/>
      <c r="Q158" s="1"/>
      <c r="R158" s="1"/>
      <c r="S158" s="1"/>
      <c r="T158" s="1"/>
      <c r="U158" s="1"/>
    </row>
    <row r="159" spans="2:21">
      <c r="D159" s="2"/>
      <c r="E159" s="1"/>
      <c r="F159" s="1"/>
      <c r="G159" s="1"/>
      <c r="H159" s="1"/>
      <c r="I159" s="3"/>
      <c r="J159" s="3"/>
      <c r="K159" s="112"/>
      <c r="L159" s="3"/>
      <c r="M159" s="3"/>
      <c r="N159" s="3"/>
      <c r="O159" s="3"/>
      <c r="P159" s="1"/>
      <c r="Q159" s="1"/>
      <c r="R159" s="1"/>
      <c r="S159" s="1"/>
      <c r="T159" s="1"/>
      <c r="U159" s="1"/>
    </row>
    <row r="160" spans="2:21">
      <c r="C160" s="172" t="s">
        <v>96</v>
      </c>
      <c r="D160" s="156"/>
      <c r="E160" s="156"/>
      <c r="F160" s="156"/>
      <c r="G160" s="156"/>
      <c r="H160" s="112"/>
      <c r="I160" s="112"/>
      <c r="J160" s="173"/>
      <c r="K160" s="173"/>
      <c r="L160" s="173"/>
      <c r="M160" s="173"/>
      <c r="N160" s="173"/>
      <c r="O160" s="173"/>
      <c r="P160" s="1"/>
      <c r="Q160" s="1"/>
      <c r="R160" s="1"/>
      <c r="S160" s="1"/>
      <c r="T160" s="1"/>
      <c r="U160" s="1"/>
    </row>
    <row r="161" spans="3:21">
      <c r="C161" s="216" t="s">
        <v>76</v>
      </c>
      <c r="D161" s="156"/>
      <c r="E161" s="156"/>
      <c r="F161" s="156"/>
      <c r="G161" s="156"/>
      <c r="H161" s="112"/>
      <c r="I161" s="112"/>
      <c r="J161" s="173"/>
      <c r="K161" s="173"/>
      <c r="L161" s="173"/>
      <c r="M161" s="173"/>
      <c r="N161" s="173"/>
      <c r="O161" s="173"/>
      <c r="P161" s="1"/>
      <c r="Q161" s="1"/>
      <c r="R161" s="1"/>
      <c r="S161" s="1"/>
      <c r="T161" s="1"/>
      <c r="U161" s="1"/>
    </row>
    <row r="162" spans="3:21">
      <c r="C162" s="216" t="s">
        <v>77</v>
      </c>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phoneticPr fontId="0" type="noConversion"/>
  <conditionalFormatting sqref="C17:C73">
    <cfRule type="cellIs" dxfId="41" priority="1" stopIfTrue="1" operator="equal">
      <formula>$I$10</formula>
    </cfRule>
  </conditionalFormatting>
  <conditionalFormatting sqref="C100:C155">
    <cfRule type="cellIs" dxfId="40"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sheetPr>
  <dimension ref="A1:U163"/>
  <sheetViews>
    <sheetView view="pageBreakPreview" zoomScale="90" zoomScaleNormal="100" zoomScaleSheetLayoutView="90" workbookViewId="0">
      <selection activeCell="E16" sqref="E16"/>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5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t="str">
        <f>"For Calendar Year "&amp;V1-1&amp;" and Projected Year "&amp;V1</f>
        <v xml:space="preserve">For Calendar Year -1 and Projected Year </v>
      </c>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0</v>
      </c>
      <c r="P5" s="1"/>
      <c r="R5" s="1"/>
      <c r="S5" s="1"/>
      <c r="T5" s="1"/>
      <c r="U5" s="1"/>
    </row>
    <row r="6" spans="1:21" ht="15.75">
      <c r="C6" s="8"/>
      <c r="D6" s="2"/>
      <c r="E6" s="1"/>
      <c r="F6" s="1"/>
      <c r="G6" s="1"/>
      <c r="H6" s="119"/>
      <c r="I6" s="119"/>
      <c r="J6" s="120"/>
      <c r="K6" s="121" t="s">
        <v>243</v>
      </c>
      <c r="L6" s="122"/>
      <c r="M6" s="4"/>
      <c r="N6" s="123">
        <f>VLOOKUP(I10,C17:I73,6)</f>
        <v>0</v>
      </c>
      <c r="O6" s="1"/>
      <c r="P6" s="1"/>
      <c r="R6" s="1"/>
      <c r="S6" s="1"/>
      <c r="T6" s="1"/>
      <c r="U6" s="1"/>
    </row>
    <row r="7" spans="1:21" ht="13.5" thickBot="1">
      <c r="C7" s="124" t="s">
        <v>46</v>
      </c>
      <c r="D7" s="258" t="s">
        <v>211</v>
      </c>
      <c r="E7" s="1"/>
      <c r="F7" s="1"/>
      <c r="G7" s="1"/>
      <c r="H7" s="3"/>
      <c r="I7" s="3"/>
      <c r="J7" s="112"/>
      <c r="K7" s="125" t="s">
        <v>47</v>
      </c>
      <c r="L7" s="126"/>
      <c r="M7" s="126"/>
      <c r="N7" s="127">
        <f>+N6-N5</f>
        <v>0</v>
      </c>
      <c r="O7" s="1"/>
      <c r="P7" s="1"/>
      <c r="R7" s="1"/>
      <c r="S7" s="1"/>
      <c r="T7" s="1"/>
      <c r="U7" s="1"/>
    </row>
    <row r="8" spans="1:21" ht="13.5" thickBot="1">
      <c r="C8" s="128"/>
      <c r="D8" s="350" t="s">
        <v>209</v>
      </c>
      <c r="E8" s="129"/>
      <c r="F8" s="129"/>
      <c r="G8" s="129"/>
      <c r="H8" s="129"/>
      <c r="I8" s="129"/>
      <c r="J8" s="102"/>
      <c r="K8" s="129"/>
      <c r="L8" s="129"/>
      <c r="M8" s="129"/>
      <c r="N8" s="129"/>
      <c r="O8" s="102"/>
      <c r="P8" s="23"/>
      <c r="R8" s="1"/>
      <c r="S8" s="1"/>
      <c r="T8" s="1"/>
      <c r="U8" s="1"/>
    </row>
    <row r="9" spans="1:21" ht="13.5" thickBot="1">
      <c r="A9" s="104"/>
      <c r="C9" s="130" t="s">
        <v>48</v>
      </c>
      <c r="D9" s="224" t="s">
        <v>204</v>
      </c>
      <c r="E9" s="131"/>
      <c r="F9" s="131"/>
      <c r="G9" s="131"/>
      <c r="H9" s="131"/>
      <c r="I9" s="132"/>
      <c r="J9" s="133"/>
      <c r="O9" s="134"/>
      <c r="P9" s="4"/>
      <c r="R9" s="1"/>
      <c r="S9" s="1"/>
      <c r="T9" s="1"/>
      <c r="U9" s="1"/>
    </row>
    <row r="10" spans="1:21">
      <c r="C10" s="135" t="s">
        <v>49</v>
      </c>
      <c r="D10" s="136">
        <v>0</v>
      </c>
      <c r="E10" s="63" t="s">
        <v>50</v>
      </c>
      <c r="F10" s="134"/>
      <c r="G10" s="137"/>
      <c r="H10" s="137"/>
      <c r="I10" s="138">
        <f>+OKT.WS.F.BPU.ATRR.Projected!R100</f>
        <v>2018</v>
      </c>
      <c r="J10" s="133"/>
      <c r="K10" s="112" t="s">
        <v>51</v>
      </c>
      <c r="O10" s="4"/>
      <c r="P10" s="4"/>
      <c r="R10" s="1"/>
      <c r="S10" s="1"/>
      <c r="T10" s="1"/>
      <c r="U10" s="1"/>
    </row>
    <row r="11" spans="1:21">
      <c r="C11" s="139" t="s">
        <v>52</v>
      </c>
      <c r="D11" s="140">
        <v>2012</v>
      </c>
      <c r="E11" s="139" t="s">
        <v>53</v>
      </c>
      <c r="F11" s="137"/>
      <c r="G11" s="7"/>
      <c r="H11" s="7"/>
      <c r="I11" s="141">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4</v>
      </c>
      <c r="E12" s="139" t="s">
        <v>55</v>
      </c>
      <c r="F12" s="137"/>
      <c r="G12" s="7"/>
      <c r="H12" s="7"/>
      <c r="I12" s="143">
        <f>OKT.WS.F.BPU.ATRR.Projected!$F$78</f>
        <v>0.11749102697326873</v>
      </c>
      <c r="J12" s="336"/>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0</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49" si="0">IF(D17=F16,"","IU")</f>
        <v>IU</v>
      </c>
      <c r="C17" s="341">
        <f>IF(D11= "","-",D11)</f>
        <v>2012</v>
      </c>
      <c r="D17" s="373">
        <v>3951600</v>
      </c>
      <c r="E17" s="374">
        <v>45573.039110189922</v>
      </c>
      <c r="F17" s="373">
        <v>3906026.9608898102</v>
      </c>
      <c r="G17" s="375">
        <v>423078.95453720703</v>
      </c>
      <c r="H17" s="376">
        <v>423078.95453720703</v>
      </c>
      <c r="I17" s="342">
        <v>0</v>
      </c>
      <c r="J17" s="158"/>
      <c r="K17" s="318">
        <f>G17</f>
        <v>423078.95453720703</v>
      </c>
      <c r="L17" s="340">
        <f t="shared" ref="L17:L49" si="1">IF(K17&lt;&gt;0,+G17-K17,0)</f>
        <v>0</v>
      </c>
      <c r="M17" s="318">
        <f>H17</f>
        <v>423078.95453720703</v>
      </c>
      <c r="N17" s="159">
        <f t="shared" ref="N17:N49" si="2">IF(M17&lt;&gt;0,+H17-M17,0)</f>
        <v>0</v>
      </c>
      <c r="O17" s="160">
        <f t="shared" ref="O17:O49" si="3">+N17-L17</f>
        <v>0</v>
      </c>
      <c r="P17" s="4"/>
      <c r="R17" s="1"/>
      <c r="S17" s="1"/>
      <c r="T17" s="1"/>
      <c r="U17" s="1"/>
    </row>
    <row r="18" spans="2:21">
      <c r="B18" t="str">
        <f t="shared" si="0"/>
        <v>IU</v>
      </c>
      <c r="C18" s="155">
        <f>IF(D$11="","-",+C17+1)</f>
        <v>2013</v>
      </c>
      <c r="D18" s="164"/>
      <c r="E18" s="162">
        <f t="shared" ref="E18:E32" si="4">IF(+I$14&lt;F17,I$14,D18)</f>
        <v>0</v>
      </c>
      <c r="F18" s="161">
        <f t="shared" ref="F18:F49" si="5">+D18-E18</f>
        <v>0</v>
      </c>
      <c r="G18" s="163">
        <f t="shared" ref="G18:G73" si="6">(D18+F18)/2*I$12+E18</f>
        <v>0</v>
      </c>
      <c r="H18" s="145">
        <f t="shared" ref="H18:H73" si="7">+(D18+F18)/2*I$13+E18</f>
        <v>0</v>
      </c>
      <c r="I18" s="158">
        <f t="shared" ref="I18:I49" si="8">H18-G18</f>
        <v>0</v>
      </c>
      <c r="J18" s="158"/>
      <c r="K18" s="316"/>
      <c r="L18" s="160">
        <f t="shared" si="1"/>
        <v>0</v>
      </c>
      <c r="M18" s="316"/>
      <c r="N18" s="160">
        <f t="shared" si="2"/>
        <v>0</v>
      </c>
      <c r="O18" s="160">
        <f t="shared" si="3"/>
        <v>0</v>
      </c>
      <c r="P18" s="4"/>
      <c r="R18" s="1"/>
      <c r="S18" s="1"/>
      <c r="T18" s="1"/>
      <c r="U18" s="1"/>
    </row>
    <row r="19" spans="2:21">
      <c r="B19" t="str">
        <f t="shared" si="0"/>
        <v/>
      </c>
      <c r="C19" s="155">
        <f>IF(D$11="","-",+C18+1)</f>
        <v>2014</v>
      </c>
      <c r="D19" s="164"/>
      <c r="E19" s="162">
        <f t="shared" si="4"/>
        <v>0</v>
      </c>
      <c r="F19" s="161">
        <f t="shared" si="5"/>
        <v>0</v>
      </c>
      <c r="G19" s="163">
        <f t="shared" si="6"/>
        <v>0</v>
      </c>
      <c r="H19" s="145">
        <f t="shared" si="7"/>
        <v>0</v>
      </c>
      <c r="I19" s="158">
        <f t="shared" si="8"/>
        <v>0</v>
      </c>
      <c r="J19" s="158"/>
      <c r="K19" s="316"/>
      <c r="L19" s="160">
        <f t="shared" si="1"/>
        <v>0</v>
      </c>
      <c r="M19" s="316"/>
      <c r="N19" s="160">
        <f t="shared" si="2"/>
        <v>0</v>
      </c>
      <c r="O19" s="160">
        <f t="shared" si="3"/>
        <v>0</v>
      </c>
      <c r="P19" s="4"/>
      <c r="R19" s="1"/>
      <c r="S19" s="1"/>
      <c r="T19" s="1"/>
      <c r="U19" s="1"/>
    </row>
    <row r="20" spans="2:21">
      <c r="B20" t="str">
        <f t="shared" si="0"/>
        <v/>
      </c>
      <c r="C20" s="155">
        <f>IF(D$11="","-",+C19+1)</f>
        <v>2015</v>
      </c>
      <c r="D20" s="164"/>
      <c r="E20" s="162">
        <f t="shared" si="4"/>
        <v>0</v>
      </c>
      <c r="F20" s="161">
        <f t="shared" si="5"/>
        <v>0</v>
      </c>
      <c r="G20" s="163">
        <f t="shared" si="6"/>
        <v>0</v>
      </c>
      <c r="H20" s="145">
        <f t="shared" si="7"/>
        <v>0</v>
      </c>
      <c r="I20" s="158">
        <f t="shared" si="8"/>
        <v>0</v>
      </c>
      <c r="J20" s="158"/>
      <c r="K20" s="316"/>
      <c r="L20" s="160">
        <f t="shared" si="1"/>
        <v>0</v>
      </c>
      <c r="M20" s="316"/>
      <c r="N20" s="160">
        <f t="shared" si="2"/>
        <v>0</v>
      </c>
      <c r="O20" s="160">
        <f t="shared" si="3"/>
        <v>0</v>
      </c>
      <c r="P20" s="4"/>
      <c r="R20" s="1"/>
      <c r="S20" s="1"/>
      <c r="T20" s="1"/>
      <c r="U20" s="1"/>
    </row>
    <row r="21" spans="2:21">
      <c r="B21" t="str">
        <f t="shared" si="0"/>
        <v/>
      </c>
      <c r="C21" s="155">
        <f>IF(D12="","-",+C20+1)</f>
        <v>2016</v>
      </c>
      <c r="D21" s="164"/>
      <c r="E21" s="162">
        <f t="shared" si="4"/>
        <v>0</v>
      </c>
      <c r="F21" s="161">
        <f t="shared" si="5"/>
        <v>0</v>
      </c>
      <c r="G21" s="163">
        <f t="shared" si="6"/>
        <v>0</v>
      </c>
      <c r="H21" s="145">
        <f t="shared" si="7"/>
        <v>0</v>
      </c>
      <c r="I21" s="158">
        <f t="shared" si="8"/>
        <v>0</v>
      </c>
      <c r="J21" s="158"/>
      <c r="K21" s="316"/>
      <c r="L21" s="160">
        <f t="shared" si="1"/>
        <v>0</v>
      </c>
      <c r="M21" s="316"/>
      <c r="N21" s="160">
        <f t="shared" si="2"/>
        <v>0</v>
      </c>
      <c r="O21" s="160">
        <f t="shared" si="3"/>
        <v>0</v>
      </c>
      <c r="P21" s="4"/>
      <c r="R21" s="1"/>
      <c r="S21" s="1"/>
      <c r="T21" s="1"/>
      <c r="U21" s="1"/>
    </row>
    <row r="22" spans="2:21">
      <c r="B22" t="str">
        <f t="shared" si="0"/>
        <v/>
      </c>
      <c r="C22" s="155">
        <f>IF(D$11="","-",+C21+1)</f>
        <v>2017</v>
      </c>
      <c r="D22" s="164"/>
      <c r="E22" s="162">
        <f t="shared" si="4"/>
        <v>0</v>
      </c>
      <c r="F22" s="161">
        <f t="shared" si="5"/>
        <v>0</v>
      </c>
      <c r="G22" s="163">
        <f t="shared" si="6"/>
        <v>0</v>
      </c>
      <c r="H22" s="145">
        <f t="shared" si="7"/>
        <v>0</v>
      </c>
      <c r="I22" s="158">
        <f t="shared" si="8"/>
        <v>0</v>
      </c>
      <c r="J22" s="158"/>
      <c r="K22" s="316"/>
      <c r="L22" s="160">
        <f t="shared" si="1"/>
        <v>0</v>
      </c>
      <c r="M22" s="316"/>
      <c r="N22" s="160">
        <f t="shared" si="2"/>
        <v>0</v>
      </c>
      <c r="O22" s="160">
        <f t="shared" si="3"/>
        <v>0</v>
      </c>
      <c r="P22" s="4"/>
      <c r="R22" s="1"/>
      <c r="S22" s="1"/>
      <c r="T22" s="1"/>
      <c r="U22" s="1"/>
    </row>
    <row r="23" spans="2:21">
      <c r="B23" t="str">
        <f t="shared" si="0"/>
        <v/>
      </c>
      <c r="C23" s="155">
        <f>IF(D$11="","-",+C22+1)</f>
        <v>2018</v>
      </c>
      <c r="D23" s="164"/>
      <c r="E23" s="162">
        <f t="shared" si="4"/>
        <v>0</v>
      </c>
      <c r="F23" s="161">
        <f t="shared" si="5"/>
        <v>0</v>
      </c>
      <c r="G23" s="163">
        <f t="shared" si="6"/>
        <v>0</v>
      </c>
      <c r="H23" s="145">
        <f t="shared" si="7"/>
        <v>0</v>
      </c>
      <c r="I23" s="158">
        <f t="shared" si="8"/>
        <v>0</v>
      </c>
      <c r="J23" s="158"/>
      <c r="K23" s="316"/>
      <c r="L23" s="160">
        <f t="shared" si="1"/>
        <v>0</v>
      </c>
      <c r="M23" s="316"/>
      <c r="N23" s="160">
        <f t="shared" si="2"/>
        <v>0</v>
      </c>
      <c r="O23" s="160">
        <f t="shared" si="3"/>
        <v>0</v>
      </c>
      <c r="P23" s="4"/>
      <c r="R23" s="1"/>
      <c r="S23" s="1"/>
      <c r="T23" s="1"/>
      <c r="U23" s="1"/>
    </row>
    <row r="24" spans="2:21">
      <c r="B24" t="str">
        <f t="shared" si="0"/>
        <v/>
      </c>
      <c r="C24" s="155">
        <f>IF(D$11="","-",+C23+1)</f>
        <v>2019</v>
      </c>
      <c r="D24" s="164"/>
      <c r="E24" s="162">
        <f t="shared" si="4"/>
        <v>0</v>
      </c>
      <c r="F24" s="161">
        <f t="shared" si="5"/>
        <v>0</v>
      </c>
      <c r="G24" s="163">
        <f t="shared" si="6"/>
        <v>0</v>
      </c>
      <c r="H24" s="145">
        <f t="shared" si="7"/>
        <v>0</v>
      </c>
      <c r="I24" s="158">
        <f t="shared" si="8"/>
        <v>0</v>
      </c>
      <c r="J24" s="158"/>
      <c r="K24" s="316"/>
      <c r="L24" s="160">
        <f t="shared" si="1"/>
        <v>0</v>
      </c>
      <c r="M24" s="316"/>
      <c r="N24" s="160">
        <f t="shared" si="2"/>
        <v>0</v>
      </c>
      <c r="O24" s="160">
        <f t="shared" si="3"/>
        <v>0</v>
      </c>
      <c r="P24" s="4"/>
      <c r="R24" s="1"/>
      <c r="S24" s="1"/>
      <c r="T24" s="1"/>
      <c r="U24" s="1"/>
    </row>
    <row r="25" spans="2:21">
      <c r="B25" t="str">
        <f t="shared" si="0"/>
        <v/>
      </c>
      <c r="C25" s="155">
        <f>IF(D$11="","-",+C24+1)</f>
        <v>2020</v>
      </c>
      <c r="D25" s="164"/>
      <c r="E25" s="162">
        <f t="shared" si="4"/>
        <v>0</v>
      </c>
      <c r="F25" s="161">
        <f t="shared" si="5"/>
        <v>0</v>
      </c>
      <c r="G25" s="163">
        <f t="shared" si="6"/>
        <v>0</v>
      </c>
      <c r="H25" s="145">
        <f t="shared" si="7"/>
        <v>0</v>
      </c>
      <c r="I25" s="158">
        <f t="shared" si="8"/>
        <v>0</v>
      </c>
      <c r="J25" s="158"/>
      <c r="K25" s="316"/>
      <c r="L25" s="160">
        <f t="shared" si="1"/>
        <v>0</v>
      </c>
      <c r="M25" s="316"/>
      <c r="N25" s="160">
        <f t="shared" si="2"/>
        <v>0</v>
      </c>
      <c r="O25" s="160">
        <f t="shared" si="3"/>
        <v>0</v>
      </c>
      <c r="P25" s="4"/>
      <c r="R25" s="1"/>
      <c r="S25" s="1"/>
      <c r="T25" s="1"/>
      <c r="U25" s="1"/>
    </row>
    <row r="26" spans="2:21">
      <c r="B26" t="str">
        <f t="shared" si="0"/>
        <v/>
      </c>
      <c r="C26" s="155">
        <f>IF(D$11="","-",+C25+1)</f>
        <v>2021</v>
      </c>
      <c r="D26" s="164"/>
      <c r="E26" s="162">
        <f t="shared" si="4"/>
        <v>0</v>
      </c>
      <c r="F26" s="161">
        <f t="shared" si="5"/>
        <v>0</v>
      </c>
      <c r="G26" s="163">
        <f t="shared" si="6"/>
        <v>0</v>
      </c>
      <c r="H26" s="145">
        <f t="shared" si="7"/>
        <v>0</v>
      </c>
      <c r="I26" s="158">
        <f t="shared" si="8"/>
        <v>0</v>
      </c>
      <c r="J26" s="158"/>
      <c r="K26" s="316"/>
      <c r="L26" s="160">
        <f t="shared" si="1"/>
        <v>0</v>
      </c>
      <c r="M26" s="316"/>
      <c r="N26" s="160">
        <f t="shared" si="2"/>
        <v>0</v>
      </c>
      <c r="O26" s="160">
        <f t="shared" si="3"/>
        <v>0</v>
      </c>
      <c r="P26" s="4"/>
      <c r="R26" s="1"/>
      <c r="S26" s="1"/>
      <c r="T26" s="1"/>
      <c r="U26" s="1"/>
    </row>
    <row r="27" spans="2:21">
      <c r="B27" t="str">
        <f t="shared" si="0"/>
        <v/>
      </c>
      <c r="C27" s="155">
        <f t="shared" ref="C27:C73" si="9">IF(D$11="","-",+C26+1)</f>
        <v>2022</v>
      </c>
      <c r="D27" s="164"/>
      <c r="E27" s="162">
        <f t="shared" si="4"/>
        <v>0</v>
      </c>
      <c r="F27" s="161">
        <f t="shared" si="5"/>
        <v>0</v>
      </c>
      <c r="G27" s="163">
        <f t="shared" si="6"/>
        <v>0</v>
      </c>
      <c r="H27" s="145">
        <f t="shared" si="7"/>
        <v>0</v>
      </c>
      <c r="I27" s="158">
        <f t="shared" si="8"/>
        <v>0</v>
      </c>
      <c r="J27" s="158"/>
      <c r="K27" s="316"/>
      <c r="L27" s="160">
        <f t="shared" si="1"/>
        <v>0</v>
      </c>
      <c r="M27" s="316"/>
      <c r="N27" s="160">
        <f t="shared" si="2"/>
        <v>0</v>
      </c>
      <c r="O27" s="160">
        <f t="shared" si="3"/>
        <v>0</v>
      </c>
      <c r="P27" s="4"/>
      <c r="R27" s="1"/>
      <c r="S27" s="1"/>
      <c r="T27" s="1"/>
      <c r="U27" s="1"/>
    </row>
    <row r="28" spans="2:21">
      <c r="B28" t="str">
        <f t="shared" si="0"/>
        <v/>
      </c>
      <c r="C28" s="155">
        <f t="shared" si="9"/>
        <v>2023</v>
      </c>
      <c r="D28" s="164"/>
      <c r="E28" s="162">
        <f t="shared" si="4"/>
        <v>0</v>
      </c>
      <c r="F28" s="161">
        <f t="shared" si="5"/>
        <v>0</v>
      </c>
      <c r="G28" s="163">
        <f t="shared" si="6"/>
        <v>0</v>
      </c>
      <c r="H28" s="145">
        <f t="shared" si="7"/>
        <v>0</v>
      </c>
      <c r="I28" s="158">
        <f t="shared" si="8"/>
        <v>0</v>
      </c>
      <c r="J28" s="158"/>
      <c r="K28" s="316"/>
      <c r="L28" s="160">
        <f t="shared" si="1"/>
        <v>0</v>
      </c>
      <c r="M28" s="316"/>
      <c r="N28" s="160">
        <f t="shared" si="2"/>
        <v>0</v>
      </c>
      <c r="O28" s="160">
        <f t="shared" si="3"/>
        <v>0</v>
      </c>
      <c r="P28" s="4"/>
      <c r="R28" s="1"/>
      <c r="S28" s="1"/>
      <c r="T28" s="1"/>
      <c r="U28" s="1"/>
    </row>
    <row r="29" spans="2:21">
      <c r="B29" t="str">
        <f t="shared" si="0"/>
        <v/>
      </c>
      <c r="C29" s="155">
        <f t="shared" si="9"/>
        <v>2024</v>
      </c>
      <c r="D29" s="164"/>
      <c r="E29" s="162">
        <f t="shared" si="4"/>
        <v>0</v>
      </c>
      <c r="F29" s="161">
        <f t="shared" si="5"/>
        <v>0</v>
      </c>
      <c r="G29" s="163">
        <f t="shared" si="6"/>
        <v>0</v>
      </c>
      <c r="H29" s="145">
        <f t="shared" si="7"/>
        <v>0</v>
      </c>
      <c r="I29" s="158">
        <f t="shared" si="8"/>
        <v>0</v>
      </c>
      <c r="J29" s="158"/>
      <c r="K29" s="316"/>
      <c r="L29" s="160">
        <f t="shared" si="1"/>
        <v>0</v>
      </c>
      <c r="M29" s="316"/>
      <c r="N29" s="160">
        <f t="shared" si="2"/>
        <v>0</v>
      </c>
      <c r="O29" s="160">
        <f t="shared" si="3"/>
        <v>0</v>
      </c>
      <c r="P29" s="4"/>
      <c r="R29" s="1"/>
      <c r="S29" s="1"/>
      <c r="T29" s="1"/>
      <c r="U29" s="1"/>
    </row>
    <row r="30" spans="2:21">
      <c r="B30" t="str">
        <f t="shared" si="0"/>
        <v/>
      </c>
      <c r="C30" s="155">
        <f t="shared" si="9"/>
        <v>2025</v>
      </c>
      <c r="D30" s="164"/>
      <c r="E30" s="162">
        <f t="shared" si="4"/>
        <v>0</v>
      </c>
      <c r="F30" s="161">
        <f t="shared" si="5"/>
        <v>0</v>
      </c>
      <c r="G30" s="163">
        <f t="shared" si="6"/>
        <v>0</v>
      </c>
      <c r="H30" s="145">
        <f t="shared" si="7"/>
        <v>0</v>
      </c>
      <c r="I30" s="158">
        <f t="shared" si="8"/>
        <v>0</v>
      </c>
      <c r="J30" s="158"/>
      <c r="K30" s="316"/>
      <c r="L30" s="160">
        <f t="shared" si="1"/>
        <v>0</v>
      </c>
      <c r="M30" s="316"/>
      <c r="N30" s="160">
        <f t="shared" si="2"/>
        <v>0</v>
      </c>
      <c r="O30" s="160">
        <f t="shared" si="3"/>
        <v>0</v>
      </c>
      <c r="P30" s="4"/>
      <c r="R30" s="1"/>
      <c r="S30" s="1"/>
      <c r="T30" s="1"/>
      <c r="U30" s="1"/>
    </row>
    <row r="31" spans="2:21">
      <c r="B31" t="str">
        <f t="shared" si="0"/>
        <v/>
      </c>
      <c r="C31" s="155">
        <f t="shared" si="9"/>
        <v>2026</v>
      </c>
      <c r="D31" s="164"/>
      <c r="E31" s="162">
        <f t="shared" si="4"/>
        <v>0</v>
      </c>
      <c r="F31" s="161">
        <f t="shared" si="5"/>
        <v>0</v>
      </c>
      <c r="G31" s="163">
        <f t="shared" si="6"/>
        <v>0</v>
      </c>
      <c r="H31" s="145">
        <f t="shared" si="7"/>
        <v>0</v>
      </c>
      <c r="I31" s="158">
        <f t="shared" si="8"/>
        <v>0</v>
      </c>
      <c r="J31" s="158"/>
      <c r="K31" s="316"/>
      <c r="L31" s="160">
        <f t="shared" si="1"/>
        <v>0</v>
      </c>
      <c r="M31" s="316"/>
      <c r="N31" s="160">
        <f t="shared" si="2"/>
        <v>0</v>
      </c>
      <c r="O31" s="160">
        <f t="shared" si="3"/>
        <v>0</v>
      </c>
      <c r="P31" s="4"/>
      <c r="Q31" s="7"/>
      <c r="R31" s="4"/>
      <c r="S31" s="4"/>
      <c r="T31" s="4"/>
      <c r="U31" s="1"/>
    </row>
    <row r="32" spans="2:21">
      <c r="B32" t="str">
        <f t="shared" si="0"/>
        <v/>
      </c>
      <c r="C32" s="155">
        <f t="shared" si="9"/>
        <v>2027</v>
      </c>
      <c r="D32" s="164"/>
      <c r="E32" s="162">
        <f t="shared" si="4"/>
        <v>0</v>
      </c>
      <c r="F32" s="161">
        <f>+D32-E32</f>
        <v>0</v>
      </c>
      <c r="G32" s="163">
        <f t="shared" si="6"/>
        <v>0</v>
      </c>
      <c r="H32" s="145">
        <f t="shared" si="7"/>
        <v>0</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 t="shared" si="9"/>
        <v>2028</v>
      </c>
      <c r="D33" s="164"/>
      <c r="E33" s="162">
        <f>IF(+I$14&lt;F31,I$14,D33)</f>
        <v>0</v>
      </c>
      <c r="F33" s="161">
        <f t="shared" si="5"/>
        <v>0</v>
      </c>
      <c r="G33" s="163">
        <f t="shared" si="6"/>
        <v>0</v>
      </c>
      <c r="H33" s="145">
        <f t="shared" si="7"/>
        <v>0</v>
      </c>
      <c r="I33" s="158">
        <f t="shared" si="8"/>
        <v>0</v>
      </c>
      <c r="J33" s="158"/>
      <c r="K33" s="316"/>
      <c r="L33" s="160">
        <f t="shared" si="1"/>
        <v>0</v>
      </c>
      <c r="M33" s="316"/>
      <c r="N33" s="160">
        <f t="shared" si="2"/>
        <v>0</v>
      </c>
      <c r="O33" s="160">
        <f t="shared" si="3"/>
        <v>0</v>
      </c>
      <c r="P33" s="4"/>
      <c r="R33" s="1"/>
      <c r="S33" s="1"/>
      <c r="T33" s="1"/>
      <c r="U33" s="1"/>
    </row>
    <row r="34" spans="2:21">
      <c r="B34" t="str">
        <f t="shared" si="0"/>
        <v/>
      </c>
      <c r="C34" s="155">
        <f t="shared" si="9"/>
        <v>2029</v>
      </c>
      <c r="D34" s="164"/>
      <c r="E34" s="162">
        <f t="shared" ref="E34:E73" si="10">IF(+I$14&lt;F33,I$14,D34)</f>
        <v>0</v>
      </c>
      <c r="F34" s="161">
        <f t="shared" si="5"/>
        <v>0</v>
      </c>
      <c r="G34" s="163">
        <f t="shared" si="6"/>
        <v>0</v>
      </c>
      <c r="H34" s="145">
        <f t="shared" si="7"/>
        <v>0</v>
      </c>
      <c r="I34" s="158">
        <f t="shared" si="8"/>
        <v>0</v>
      </c>
      <c r="J34" s="158"/>
      <c r="K34" s="316"/>
      <c r="L34" s="160">
        <f t="shared" si="1"/>
        <v>0</v>
      </c>
      <c r="M34" s="316"/>
      <c r="N34" s="160">
        <f t="shared" si="2"/>
        <v>0</v>
      </c>
      <c r="O34" s="160">
        <f t="shared" si="3"/>
        <v>0</v>
      </c>
      <c r="P34" s="430"/>
      <c r="Q34" s="290"/>
      <c r="R34" s="430"/>
      <c r="S34" s="430"/>
      <c r="T34" s="430"/>
      <c r="U34" s="1"/>
    </row>
    <row r="35" spans="2:21">
      <c r="B35" t="str">
        <f t="shared" si="0"/>
        <v/>
      </c>
      <c r="C35" s="155">
        <f t="shared" si="9"/>
        <v>2030</v>
      </c>
      <c r="D35" s="164"/>
      <c r="E35" s="162">
        <f t="shared" si="10"/>
        <v>0</v>
      </c>
      <c r="F35" s="161">
        <f t="shared" si="5"/>
        <v>0</v>
      </c>
      <c r="G35" s="163">
        <f t="shared" si="6"/>
        <v>0</v>
      </c>
      <c r="H35" s="145">
        <f t="shared" si="7"/>
        <v>0</v>
      </c>
      <c r="I35" s="158">
        <f t="shared" si="8"/>
        <v>0</v>
      </c>
      <c r="J35" s="158"/>
      <c r="K35" s="316"/>
      <c r="L35" s="160">
        <f t="shared" si="1"/>
        <v>0</v>
      </c>
      <c r="M35" s="316"/>
      <c r="N35" s="160">
        <f t="shared" si="2"/>
        <v>0</v>
      </c>
      <c r="O35" s="160">
        <f t="shared" si="3"/>
        <v>0</v>
      </c>
      <c r="P35" s="4"/>
      <c r="R35" s="1"/>
      <c r="S35" s="1"/>
      <c r="T35" s="1"/>
      <c r="U35" s="1"/>
    </row>
    <row r="36" spans="2:21">
      <c r="B36" t="str">
        <f t="shared" si="0"/>
        <v/>
      </c>
      <c r="C36" s="155">
        <f t="shared" si="9"/>
        <v>2031</v>
      </c>
      <c r="D36" s="164"/>
      <c r="E36" s="162">
        <f t="shared" si="10"/>
        <v>0</v>
      </c>
      <c r="F36" s="161">
        <f t="shared" si="5"/>
        <v>0</v>
      </c>
      <c r="G36" s="163">
        <f t="shared" si="6"/>
        <v>0</v>
      </c>
      <c r="H36" s="145">
        <f t="shared" si="7"/>
        <v>0</v>
      </c>
      <c r="I36" s="158">
        <f t="shared" si="8"/>
        <v>0</v>
      </c>
      <c r="J36" s="158"/>
      <c r="K36" s="316"/>
      <c r="L36" s="160">
        <f t="shared" si="1"/>
        <v>0</v>
      </c>
      <c r="M36" s="316"/>
      <c r="N36" s="160">
        <f t="shared" si="2"/>
        <v>0</v>
      </c>
      <c r="O36" s="160">
        <f t="shared" si="3"/>
        <v>0</v>
      </c>
      <c r="P36" s="4"/>
      <c r="R36" s="1"/>
      <c r="S36" s="1"/>
      <c r="T36" s="1"/>
      <c r="U36" s="1"/>
    </row>
    <row r="37" spans="2:21">
      <c r="B37" t="str">
        <f t="shared" si="0"/>
        <v/>
      </c>
      <c r="C37" s="155">
        <f t="shared" si="9"/>
        <v>2032</v>
      </c>
      <c r="D37" s="164"/>
      <c r="E37" s="162">
        <f t="shared" si="10"/>
        <v>0</v>
      </c>
      <c r="F37" s="161">
        <f t="shared" si="5"/>
        <v>0</v>
      </c>
      <c r="G37" s="163">
        <f t="shared" si="6"/>
        <v>0</v>
      </c>
      <c r="H37" s="145">
        <f t="shared" si="7"/>
        <v>0</v>
      </c>
      <c r="I37" s="158">
        <f t="shared" si="8"/>
        <v>0</v>
      </c>
      <c r="J37" s="158"/>
      <c r="K37" s="316"/>
      <c r="L37" s="160">
        <f t="shared" si="1"/>
        <v>0</v>
      </c>
      <c r="M37" s="316"/>
      <c r="N37" s="160">
        <f t="shared" si="2"/>
        <v>0</v>
      </c>
      <c r="O37" s="160">
        <f t="shared" si="3"/>
        <v>0</v>
      </c>
      <c r="P37" s="4"/>
      <c r="R37" s="1"/>
      <c r="S37" s="1"/>
      <c r="T37" s="1"/>
      <c r="U37" s="1"/>
    </row>
    <row r="38" spans="2:21">
      <c r="B38" t="str">
        <f t="shared" si="0"/>
        <v/>
      </c>
      <c r="C38" s="155">
        <f t="shared" si="9"/>
        <v>2033</v>
      </c>
      <c r="D38" s="164"/>
      <c r="E38" s="162">
        <f t="shared" si="10"/>
        <v>0</v>
      </c>
      <c r="F38" s="161">
        <f t="shared" si="5"/>
        <v>0</v>
      </c>
      <c r="G38" s="163">
        <f t="shared" si="6"/>
        <v>0</v>
      </c>
      <c r="H38" s="145">
        <f t="shared" si="7"/>
        <v>0</v>
      </c>
      <c r="I38" s="158">
        <f t="shared" si="8"/>
        <v>0</v>
      </c>
      <c r="J38" s="158"/>
      <c r="K38" s="316"/>
      <c r="L38" s="160">
        <f t="shared" si="1"/>
        <v>0</v>
      </c>
      <c r="M38" s="316"/>
      <c r="N38" s="160">
        <f t="shared" si="2"/>
        <v>0</v>
      </c>
      <c r="O38" s="160">
        <f t="shared" si="3"/>
        <v>0</v>
      </c>
      <c r="P38" s="4"/>
      <c r="R38" s="1"/>
      <c r="S38" s="1"/>
      <c r="T38" s="1"/>
      <c r="U38" s="1"/>
    </row>
    <row r="39" spans="2:21">
      <c r="B39" t="str">
        <f t="shared" si="0"/>
        <v/>
      </c>
      <c r="C39" s="155">
        <f t="shared" si="9"/>
        <v>2034</v>
      </c>
      <c r="D39" s="164"/>
      <c r="E39" s="162">
        <f t="shared" si="10"/>
        <v>0</v>
      </c>
      <c r="F39" s="161">
        <f t="shared" si="5"/>
        <v>0</v>
      </c>
      <c r="G39" s="163">
        <f t="shared" si="6"/>
        <v>0</v>
      </c>
      <c r="H39" s="145">
        <f t="shared" si="7"/>
        <v>0</v>
      </c>
      <c r="I39" s="158">
        <f t="shared" si="8"/>
        <v>0</v>
      </c>
      <c r="J39" s="158"/>
      <c r="K39" s="316"/>
      <c r="L39" s="160">
        <f t="shared" si="1"/>
        <v>0</v>
      </c>
      <c r="M39" s="316"/>
      <c r="N39" s="160">
        <f t="shared" si="2"/>
        <v>0</v>
      </c>
      <c r="O39" s="160">
        <f t="shared" si="3"/>
        <v>0</v>
      </c>
      <c r="P39" s="4"/>
      <c r="R39" s="1"/>
      <c r="S39" s="1"/>
      <c r="T39" s="1"/>
      <c r="U39" s="1"/>
    </row>
    <row r="40" spans="2:21">
      <c r="B40" t="str">
        <f t="shared" si="0"/>
        <v/>
      </c>
      <c r="C40" s="155">
        <f t="shared" si="9"/>
        <v>2035</v>
      </c>
      <c r="D40" s="164"/>
      <c r="E40" s="162">
        <f t="shared" si="10"/>
        <v>0</v>
      </c>
      <c r="F40" s="161">
        <f t="shared" si="5"/>
        <v>0</v>
      </c>
      <c r="G40" s="163">
        <f t="shared" si="6"/>
        <v>0</v>
      </c>
      <c r="H40" s="145">
        <f t="shared" si="7"/>
        <v>0</v>
      </c>
      <c r="I40" s="158">
        <f t="shared" si="8"/>
        <v>0</v>
      </c>
      <c r="J40" s="158"/>
      <c r="K40" s="316"/>
      <c r="L40" s="160">
        <f t="shared" si="1"/>
        <v>0</v>
      </c>
      <c r="M40" s="316"/>
      <c r="N40" s="160">
        <f t="shared" si="2"/>
        <v>0</v>
      </c>
      <c r="O40" s="160">
        <f t="shared" si="3"/>
        <v>0</v>
      </c>
      <c r="P40" s="4"/>
      <c r="R40" s="1"/>
      <c r="S40" s="1"/>
      <c r="T40" s="1"/>
      <c r="U40" s="1"/>
    </row>
    <row r="41" spans="2:21">
      <c r="B41" t="str">
        <f t="shared" si="0"/>
        <v/>
      </c>
      <c r="C41" s="155">
        <f t="shared" si="9"/>
        <v>2036</v>
      </c>
      <c r="D41" s="164"/>
      <c r="E41" s="162">
        <f t="shared" si="10"/>
        <v>0</v>
      </c>
      <c r="F41" s="161">
        <f t="shared" si="5"/>
        <v>0</v>
      </c>
      <c r="G41" s="163">
        <f t="shared" si="6"/>
        <v>0</v>
      </c>
      <c r="H41" s="145">
        <f t="shared" si="7"/>
        <v>0</v>
      </c>
      <c r="I41" s="158">
        <f t="shared" si="8"/>
        <v>0</v>
      </c>
      <c r="J41" s="158"/>
      <c r="K41" s="316"/>
      <c r="L41" s="160">
        <f t="shared" si="1"/>
        <v>0</v>
      </c>
      <c r="M41" s="316"/>
      <c r="N41" s="160">
        <f t="shared" si="2"/>
        <v>0</v>
      </c>
      <c r="O41" s="160">
        <f t="shared" si="3"/>
        <v>0</v>
      </c>
      <c r="P41" s="4"/>
      <c r="R41" s="1"/>
      <c r="S41" s="1"/>
      <c r="T41" s="1"/>
      <c r="U41" s="1"/>
    </row>
    <row r="42" spans="2:21">
      <c r="B42" t="str">
        <f t="shared" si="0"/>
        <v/>
      </c>
      <c r="C42" s="155">
        <f t="shared" si="9"/>
        <v>2037</v>
      </c>
      <c r="D42" s="164"/>
      <c r="E42" s="162">
        <f t="shared" si="10"/>
        <v>0</v>
      </c>
      <c r="F42" s="161">
        <f t="shared" si="5"/>
        <v>0</v>
      </c>
      <c r="G42" s="163">
        <f t="shared" si="6"/>
        <v>0</v>
      </c>
      <c r="H42" s="145">
        <f t="shared" si="7"/>
        <v>0</v>
      </c>
      <c r="I42" s="158">
        <f t="shared" si="8"/>
        <v>0</v>
      </c>
      <c r="J42" s="158"/>
      <c r="K42" s="316"/>
      <c r="L42" s="160">
        <f t="shared" si="1"/>
        <v>0</v>
      </c>
      <c r="M42" s="316"/>
      <c r="N42" s="160">
        <f t="shared" si="2"/>
        <v>0</v>
      </c>
      <c r="O42" s="160">
        <f t="shared" si="3"/>
        <v>0</v>
      </c>
      <c r="P42" s="4"/>
      <c r="R42" s="1"/>
      <c r="S42" s="1"/>
      <c r="T42" s="1"/>
      <c r="U42" s="1"/>
    </row>
    <row r="43" spans="2:21">
      <c r="B43" t="str">
        <f t="shared" si="0"/>
        <v/>
      </c>
      <c r="C43" s="155">
        <f t="shared" si="9"/>
        <v>2038</v>
      </c>
      <c r="D43" s="164"/>
      <c r="E43" s="162">
        <f t="shared" si="10"/>
        <v>0</v>
      </c>
      <c r="F43" s="161">
        <f t="shared" si="5"/>
        <v>0</v>
      </c>
      <c r="G43" s="163">
        <f t="shared" si="6"/>
        <v>0</v>
      </c>
      <c r="H43" s="145">
        <f t="shared" si="7"/>
        <v>0</v>
      </c>
      <c r="I43" s="158">
        <f t="shared" si="8"/>
        <v>0</v>
      </c>
      <c r="J43" s="158"/>
      <c r="K43" s="316"/>
      <c r="L43" s="160">
        <f t="shared" si="1"/>
        <v>0</v>
      </c>
      <c r="M43" s="316"/>
      <c r="N43" s="160">
        <f t="shared" si="2"/>
        <v>0</v>
      </c>
      <c r="O43" s="160">
        <f t="shared" si="3"/>
        <v>0</v>
      </c>
      <c r="P43" s="4"/>
      <c r="R43" s="1"/>
      <c r="S43" s="1"/>
      <c r="T43" s="1"/>
      <c r="U43" s="1"/>
    </row>
    <row r="44" spans="2:21">
      <c r="B44" t="str">
        <f t="shared" si="0"/>
        <v/>
      </c>
      <c r="C44" s="155">
        <f t="shared" si="9"/>
        <v>2039</v>
      </c>
      <c r="D44" s="164"/>
      <c r="E44" s="162">
        <f t="shared" si="10"/>
        <v>0</v>
      </c>
      <c r="F44" s="161">
        <f t="shared" si="5"/>
        <v>0</v>
      </c>
      <c r="G44" s="163">
        <f t="shared" si="6"/>
        <v>0</v>
      </c>
      <c r="H44" s="145">
        <f t="shared" si="7"/>
        <v>0</v>
      </c>
      <c r="I44" s="158">
        <f t="shared" si="8"/>
        <v>0</v>
      </c>
      <c r="J44" s="158"/>
      <c r="K44" s="316"/>
      <c r="L44" s="160">
        <f t="shared" si="1"/>
        <v>0</v>
      </c>
      <c r="M44" s="316"/>
      <c r="N44" s="160">
        <f t="shared" si="2"/>
        <v>0</v>
      </c>
      <c r="O44" s="160">
        <f t="shared" si="3"/>
        <v>0</v>
      </c>
      <c r="P44" s="4"/>
      <c r="R44" s="1"/>
      <c r="S44" s="1"/>
      <c r="T44" s="1"/>
      <c r="U44" s="1"/>
    </row>
    <row r="45" spans="2:21">
      <c r="B45" t="str">
        <f t="shared" si="0"/>
        <v/>
      </c>
      <c r="C45" s="155">
        <f t="shared" si="9"/>
        <v>2040</v>
      </c>
      <c r="D45" s="164"/>
      <c r="E45" s="162">
        <f t="shared" si="10"/>
        <v>0</v>
      </c>
      <c r="F45" s="161">
        <f t="shared" si="5"/>
        <v>0</v>
      </c>
      <c r="G45" s="163">
        <f t="shared" si="6"/>
        <v>0</v>
      </c>
      <c r="H45" s="145">
        <f t="shared" si="7"/>
        <v>0</v>
      </c>
      <c r="I45" s="158">
        <f t="shared" si="8"/>
        <v>0</v>
      </c>
      <c r="J45" s="158"/>
      <c r="K45" s="316"/>
      <c r="L45" s="160">
        <f t="shared" si="1"/>
        <v>0</v>
      </c>
      <c r="M45" s="316"/>
      <c r="N45" s="160">
        <f t="shared" si="2"/>
        <v>0</v>
      </c>
      <c r="O45" s="160">
        <f t="shared" si="3"/>
        <v>0</v>
      </c>
      <c r="P45" s="4"/>
      <c r="R45" s="1"/>
      <c r="S45" s="1"/>
      <c r="T45" s="1"/>
      <c r="U45" s="1"/>
    </row>
    <row r="46" spans="2:21">
      <c r="B46" t="str">
        <f t="shared" si="0"/>
        <v/>
      </c>
      <c r="C46" s="155">
        <f t="shared" si="9"/>
        <v>2041</v>
      </c>
      <c r="D46" s="164"/>
      <c r="E46" s="162">
        <f t="shared" si="10"/>
        <v>0</v>
      </c>
      <c r="F46" s="161">
        <f t="shared" si="5"/>
        <v>0</v>
      </c>
      <c r="G46" s="163">
        <f t="shared" si="6"/>
        <v>0</v>
      </c>
      <c r="H46" s="145">
        <f t="shared" si="7"/>
        <v>0</v>
      </c>
      <c r="I46" s="158">
        <f t="shared" si="8"/>
        <v>0</v>
      </c>
      <c r="J46" s="158"/>
      <c r="K46" s="316"/>
      <c r="L46" s="160">
        <f t="shared" si="1"/>
        <v>0</v>
      </c>
      <c r="M46" s="316"/>
      <c r="N46" s="160">
        <f t="shared" si="2"/>
        <v>0</v>
      </c>
      <c r="O46" s="160">
        <f t="shared" si="3"/>
        <v>0</v>
      </c>
      <c r="P46" s="4"/>
      <c r="R46" s="1"/>
      <c r="S46" s="1"/>
      <c r="T46" s="1"/>
      <c r="U46" s="1"/>
    </row>
    <row r="47" spans="2:21">
      <c r="B47" t="str">
        <f t="shared" si="0"/>
        <v/>
      </c>
      <c r="C47" s="155">
        <f t="shared" si="9"/>
        <v>2042</v>
      </c>
      <c r="D47" s="164"/>
      <c r="E47" s="162">
        <f t="shared" si="10"/>
        <v>0</v>
      </c>
      <c r="F47" s="161">
        <f t="shared" si="5"/>
        <v>0</v>
      </c>
      <c r="G47" s="163">
        <f t="shared" si="6"/>
        <v>0</v>
      </c>
      <c r="H47" s="145">
        <f t="shared" si="7"/>
        <v>0</v>
      </c>
      <c r="I47" s="158">
        <f t="shared" si="8"/>
        <v>0</v>
      </c>
      <c r="J47" s="158"/>
      <c r="K47" s="316"/>
      <c r="L47" s="160">
        <f t="shared" si="1"/>
        <v>0</v>
      </c>
      <c r="M47" s="316"/>
      <c r="N47" s="160">
        <f t="shared" si="2"/>
        <v>0</v>
      </c>
      <c r="O47" s="160">
        <f t="shared" si="3"/>
        <v>0</v>
      </c>
      <c r="P47" s="4"/>
      <c r="R47" s="1"/>
      <c r="S47" s="1"/>
      <c r="T47" s="1"/>
      <c r="U47" s="1"/>
    </row>
    <row r="48" spans="2:21">
      <c r="B48" t="str">
        <f t="shared" si="0"/>
        <v/>
      </c>
      <c r="C48" s="155">
        <f t="shared" si="9"/>
        <v>2043</v>
      </c>
      <c r="D48" s="164"/>
      <c r="E48" s="162">
        <f t="shared" si="10"/>
        <v>0</v>
      </c>
      <c r="F48" s="161">
        <f t="shared" si="5"/>
        <v>0</v>
      </c>
      <c r="G48" s="163">
        <f t="shared" si="6"/>
        <v>0</v>
      </c>
      <c r="H48" s="145">
        <f t="shared" si="7"/>
        <v>0</v>
      </c>
      <c r="I48" s="158">
        <f t="shared" si="8"/>
        <v>0</v>
      </c>
      <c r="J48" s="158"/>
      <c r="K48" s="316"/>
      <c r="L48" s="160">
        <f t="shared" si="1"/>
        <v>0</v>
      </c>
      <c r="M48" s="316"/>
      <c r="N48" s="160">
        <f t="shared" si="2"/>
        <v>0</v>
      </c>
      <c r="O48" s="160">
        <f t="shared" si="3"/>
        <v>0</v>
      </c>
      <c r="P48" s="4"/>
      <c r="R48" s="1"/>
      <c r="S48" s="1"/>
      <c r="T48" s="1"/>
      <c r="U48" s="1"/>
    </row>
    <row r="49" spans="2:21">
      <c r="B49" t="str">
        <f t="shared" si="0"/>
        <v/>
      </c>
      <c r="C49" s="155">
        <f t="shared" si="9"/>
        <v>2044</v>
      </c>
      <c r="D49" s="164"/>
      <c r="E49" s="162">
        <f t="shared" si="10"/>
        <v>0</v>
      </c>
      <c r="F49" s="161">
        <f t="shared" si="5"/>
        <v>0</v>
      </c>
      <c r="G49" s="163">
        <f t="shared" si="6"/>
        <v>0</v>
      </c>
      <c r="H49" s="145">
        <f t="shared" si="7"/>
        <v>0</v>
      </c>
      <c r="I49" s="158">
        <f t="shared" si="8"/>
        <v>0</v>
      </c>
      <c r="J49" s="158"/>
      <c r="K49" s="316"/>
      <c r="L49" s="160">
        <f t="shared" si="1"/>
        <v>0</v>
      </c>
      <c r="M49" s="316"/>
      <c r="N49" s="160">
        <f t="shared" si="2"/>
        <v>0</v>
      </c>
      <c r="O49" s="160">
        <f t="shared" si="3"/>
        <v>0</v>
      </c>
      <c r="P49" s="4"/>
      <c r="R49" s="1"/>
      <c r="S49" s="1"/>
      <c r="T49" s="1"/>
      <c r="U49" s="1"/>
    </row>
    <row r="50" spans="2:21">
      <c r="B50" t="str">
        <f t="shared" ref="B50:B73" si="11">IF(D50=F49,"","IU")</f>
        <v/>
      </c>
      <c r="C50" s="155">
        <f t="shared" si="9"/>
        <v>2045</v>
      </c>
      <c r="D50" s="164"/>
      <c r="E50" s="162">
        <f t="shared" si="10"/>
        <v>0</v>
      </c>
      <c r="F50" s="161">
        <f t="shared" ref="F50:F73" si="12">+D50-E50</f>
        <v>0</v>
      </c>
      <c r="G50" s="163">
        <f t="shared" si="6"/>
        <v>0</v>
      </c>
      <c r="H50" s="145">
        <f t="shared" si="7"/>
        <v>0</v>
      </c>
      <c r="I50" s="158">
        <f t="shared" ref="I50:I73" si="13">H50-G50</f>
        <v>0</v>
      </c>
      <c r="J50" s="158"/>
      <c r="K50" s="316"/>
      <c r="L50" s="160">
        <f t="shared" ref="L50:L73" si="14">IF(K50&lt;&gt;0,+G50-K50,0)</f>
        <v>0</v>
      </c>
      <c r="M50" s="316"/>
      <c r="N50" s="160">
        <f t="shared" ref="N50:N73" si="15">IF(M50&lt;&gt;0,+H50-M50,0)</f>
        <v>0</v>
      </c>
      <c r="O50" s="160">
        <f t="shared" ref="O50:O73" si="16">+N50-L50</f>
        <v>0</v>
      </c>
      <c r="P50" s="4"/>
      <c r="R50" s="1"/>
      <c r="S50" s="1"/>
      <c r="T50" s="1"/>
      <c r="U50" s="1"/>
    </row>
    <row r="51" spans="2:21">
      <c r="B51" t="str">
        <f t="shared" si="11"/>
        <v/>
      </c>
      <c r="C51" s="155">
        <f t="shared" si="9"/>
        <v>2046</v>
      </c>
      <c r="D51" s="164"/>
      <c r="E51" s="162">
        <f t="shared" si="10"/>
        <v>0</v>
      </c>
      <c r="F51" s="161">
        <f t="shared" si="12"/>
        <v>0</v>
      </c>
      <c r="G51" s="163">
        <f t="shared" si="6"/>
        <v>0</v>
      </c>
      <c r="H51" s="145">
        <f t="shared" si="7"/>
        <v>0</v>
      </c>
      <c r="I51" s="158">
        <f t="shared" si="13"/>
        <v>0</v>
      </c>
      <c r="J51" s="158"/>
      <c r="K51" s="316"/>
      <c r="L51" s="160">
        <f t="shared" si="14"/>
        <v>0</v>
      </c>
      <c r="M51" s="316"/>
      <c r="N51" s="160">
        <f t="shared" si="15"/>
        <v>0</v>
      </c>
      <c r="O51" s="160">
        <f t="shared" si="16"/>
        <v>0</v>
      </c>
      <c r="P51" s="4"/>
      <c r="R51" s="1"/>
      <c r="S51" s="1"/>
      <c r="T51" s="1"/>
      <c r="U51" s="1"/>
    </row>
    <row r="52" spans="2:21">
      <c r="B52" t="str">
        <f t="shared" si="11"/>
        <v/>
      </c>
      <c r="C52" s="155">
        <f t="shared" si="9"/>
        <v>2047</v>
      </c>
      <c r="D52" s="164"/>
      <c r="E52" s="162">
        <f t="shared" si="10"/>
        <v>0</v>
      </c>
      <c r="F52" s="161">
        <f t="shared" si="12"/>
        <v>0</v>
      </c>
      <c r="G52" s="163">
        <f t="shared" si="6"/>
        <v>0</v>
      </c>
      <c r="H52" s="145">
        <f t="shared" si="7"/>
        <v>0</v>
      </c>
      <c r="I52" s="158">
        <f t="shared" si="13"/>
        <v>0</v>
      </c>
      <c r="J52" s="158"/>
      <c r="K52" s="316"/>
      <c r="L52" s="160">
        <f t="shared" si="14"/>
        <v>0</v>
      </c>
      <c r="M52" s="316"/>
      <c r="N52" s="160">
        <f t="shared" si="15"/>
        <v>0</v>
      </c>
      <c r="O52" s="160">
        <f t="shared" si="16"/>
        <v>0</v>
      </c>
      <c r="P52" s="4"/>
      <c r="R52" s="1"/>
      <c r="S52" s="1"/>
      <c r="T52" s="1"/>
      <c r="U52" s="1"/>
    </row>
    <row r="53" spans="2:21">
      <c r="B53" t="str">
        <f t="shared" si="11"/>
        <v/>
      </c>
      <c r="C53" s="155">
        <f t="shared" si="9"/>
        <v>2048</v>
      </c>
      <c r="D53" s="164"/>
      <c r="E53" s="162">
        <f t="shared" si="10"/>
        <v>0</v>
      </c>
      <c r="F53" s="161">
        <f t="shared" si="12"/>
        <v>0</v>
      </c>
      <c r="G53" s="163">
        <f t="shared" si="6"/>
        <v>0</v>
      </c>
      <c r="H53" s="145">
        <f t="shared" si="7"/>
        <v>0</v>
      </c>
      <c r="I53" s="158">
        <f t="shared" si="13"/>
        <v>0</v>
      </c>
      <c r="J53" s="158"/>
      <c r="K53" s="316"/>
      <c r="L53" s="160">
        <f t="shared" si="14"/>
        <v>0</v>
      </c>
      <c r="M53" s="316"/>
      <c r="N53" s="160">
        <f t="shared" si="15"/>
        <v>0</v>
      </c>
      <c r="O53" s="160">
        <f t="shared" si="16"/>
        <v>0</v>
      </c>
      <c r="P53" s="4"/>
      <c r="R53" s="1"/>
      <c r="S53" s="1"/>
      <c r="T53" s="1"/>
      <c r="U53" s="1"/>
    </row>
    <row r="54" spans="2:21">
      <c r="B54" t="str">
        <f t="shared" si="11"/>
        <v/>
      </c>
      <c r="C54" s="155">
        <f t="shared" si="9"/>
        <v>2049</v>
      </c>
      <c r="D54" s="164"/>
      <c r="E54" s="162">
        <f t="shared" si="10"/>
        <v>0</v>
      </c>
      <c r="F54" s="161">
        <f t="shared" si="12"/>
        <v>0</v>
      </c>
      <c r="G54" s="163">
        <f t="shared" si="6"/>
        <v>0</v>
      </c>
      <c r="H54" s="145">
        <f t="shared" si="7"/>
        <v>0</v>
      </c>
      <c r="I54" s="158">
        <f t="shared" si="13"/>
        <v>0</v>
      </c>
      <c r="J54" s="158"/>
      <c r="K54" s="316"/>
      <c r="L54" s="160">
        <f t="shared" si="14"/>
        <v>0</v>
      </c>
      <c r="M54" s="316"/>
      <c r="N54" s="160">
        <f t="shared" si="15"/>
        <v>0</v>
      </c>
      <c r="O54" s="160">
        <f t="shared" si="16"/>
        <v>0</v>
      </c>
      <c r="P54" s="4"/>
      <c r="R54" s="1"/>
      <c r="S54" s="1"/>
      <c r="T54" s="1"/>
      <c r="U54" s="1"/>
    </row>
    <row r="55" spans="2:21">
      <c r="B55" t="str">
        <f t="shared" si="11"/>
        <v/>
      </c>
      <c r="C55" s="155">
        <f t="shared" si="9"/>
        <v>2050</v>
      </c>
      <c r="D55" s="164"/>
      <c r="E55" s="162">
        <f t="shared" si="10"/>
        <v>0</v>
      </c>
      <c r="F55" s="161">
        <f t="shared" si="12"/>
        <v>0</v>
      </c>
      <c r="G55" s="163">
        <f t="shared" si="6"/>
        <v>0</v>
      </c>
      <c r="H55" s="145">
        <f t="shared" si="7"/>
        <v>0</v>
      </c>
      <c r="I55" s="158">
        <f t="shared" si="13"/>
        <v>0</v>
      </c>
      <c r="J55" s="158"/>
      <c r="K55" s="316"/>
      <c r="L55" s="160">
        <f t="shared" si="14"/>
        <v>0</v>
      </c>
      <c r="M55" s="316"/>
      <c r="N55" s="160">
        <f t="shared" si="15"/>
        <v>0</v>
      </c>
      <c r="O55" s="160">
        <f t="shared" si="16"/>
        <v>0</v>
      </c>
      <c r="P55" s="4"/>
      <c r="R55" s="1"/>
      <c r="S55" s="1"/>
      <c r="T55" s="1"/>
      <c r="U55" s="1"/>
    </row>
    <row r="56" spans="2:21">
      <c r="B56" t="str">
        <f t="shared" si="11"/>
        <v/>
      </c>
      <c r="C56" s="155">
        <f t="shared" si="9"/>
        <v>2051</v>
      </c>
      <c r="D56" s="164"/>
      <c r="E56" s="162">
        <f t="shared" si="10"/>
        <v>0</v>
      </c>
      <c r="F56" s="161">
        <f t="shared" si="12"/>
        <v>0</v>
      </c>
      <c r="G56" s="163">
        <f t="shared" si="6"/>
        <v>0</v>
      </c>
      <c r="H56" s="145">
        <f t="shared" si="7"/>
        <v>0</v>
      </c>
      <c r="I56" s="158">
        <f t="shared" si="13"/>
        <v>0</v>
      </c>
      <c r="J56" s="158"/>
      <c r="K56" s="316"/>
      <c r="L56" s="160">
        <f t="shared" si="14"/>
        <v>0</v>
      </c>
      <c r="M56" s="316"/>
      <c r="N56" s="160">
        <f t="shared" si="15"/>
        <v>0</v>
      </c>
      <c r="O56" s="160">
        <f t="shared" si="16"/>
        <v>0</v>
      </c>
      <c r="P56" s="4"/>
      <c r="R56" s="1"/>
      <c r="S56" s="1"/>
      <c r="T56" s="1"/>
      <c r="U56" s="1"/>
    </row>
    <row r="57" spans="2:21">
      <c r="B57" t="str">
        <f t="shared" si="11"/>
        <v/>
      </c>
      <c r="C57" s="155">
        <f t="shared" si="9"/>
        <v>2052</v>
      </c>
      <c r="D57" s="164"/>
      <c r="E57" s="162">
        <f t="shared" si="10"/>
        <v>0</v>
      </c>
      <c r="F57" s="161">
        <f t="shared" si="12"/>
        <v>0</v>
      </c>
      <c r="G57" s="163">
        <f t="shared" si="6"/>
        <v>0</v>
      </c>
      <c r="H57" s="145">
        <f t="shared" si="7"/>
        <v>0</v>
      </c>
      <c r="I57" s="158">
        <f t="shared" si="13"/>
        <v>0</v>
      </c>
      <c r="J57" s="158"/>
      <c r="K57" s="316"/>
      <c r="L57" s="160">
        <f t="shared" si="14"/>
        <v>0</v>
      </c>
      <c r="M57" s="316"/>
      <c r="N57" s="160">
        <f t="shared" si="15"/>
        <v>0</v>
      </c>
      <c r="O57" s="160">
        <f t="shared" si="16"/>
        <v>0</v>
      </c>
      <c r="P57" s="4"/>
      <c r="R57" s="1"/>
      <c r="S57" s="1"/>
      <c r="T57" s="1"/>
      <c r="U57" s="1"/>
    </row>
    <row r="58" spans="2:21">
      <c r="B58" t="str">
        <f t="shared" si="11"/>
        <v/>
      </c>
      <c r="C58" s="155">
        <f t="shared" si="9"/>
        <v>2053</v>
      </c>
      <c r="D58" s="164"/>
      <c r="E58" s="162">
        <f t="shared" si="10"/>
        <v>0</v>
      </c>
      <c r="F58" s="161">
        <f t="shared" si="12"/>
        <v>0</v>
      </c>
      <c r="G58" s="163">
        <f t="shared" si="6"/>
        <v>0</v>
      </c>
      <c r="H58" s="145">
        <f t="shared" si="7"/>
        <v>0</v>
      </c>
      <c r="I58" s="158">
        <f t="shared" si="13"/>
        <v>0</v>
      </c>
      <c r="J58" s="158"/>
      <c r="K58" s="316"/>
      <c r="L58" s="160">
        <f t="shared" si="14"/>
        <v>0</v>
      </c>
      <c r="M58" s="316"/>
      <c r="N58" s="160">
        <f t="shared" si="15"/>
        <v>0</v>
      </c>
      <c r="O58" s="160">
        <f t="shared" si="16"/>
        <v>0</v>
      </c>
      <c r="P58" s="4"/>
      <c r="R58" s="1"/>
      <c r="S58" s="1"/>
      <c r="T58" s="1"/>
      <c r="U58" s="1"/>
    </row>
    <row r="59" spans="2:21">
      <c r="B59" t="str">
        <f t="shared" si="11"/>
        <v/>
      </c>
      <c r="C59" s="155">
        <f t="shared" si="9"/>
        <v>2054</v>
      </c>
      <c r="D59" s="164"/>
      <c r="E59" s="162">
        <f t="shared" si="10"/>
        <v>0</v>
      </c>
      <c r="F59" s="161">
        <f t="shared" si="12"/>
        <v>0</v>
      </c>
      <c r="G59" s="163">
        <f t="shared" si="6"/>
        <v>0</v>
      </c>
      <c r="H59" s="145">
        <f t="shared" si="7"/>
        <v>0</v>
      </c>
      <c r="I59" s="158">
        <f t="shared" si="13"/>
        <v>0</v>
      </c>
      <c r="J59" s="158"/>
      <c r="K59" s="316"/>
      <c r="L59" s="160">
        <f t="shared" si="14"/>
        <v>0</v>
      </c>
      <c r="M59" s="316"/>
      <c r="N59" s="160">
        <f t="shared" si="15"/>
        <v>0</v>
      </c>
      <c r="O59" s="160">
        <f t="shared" si="16"/>
        <v>0</v>
      </c>
      <c r="P59" s="4"/>
      <c r="R59" s="1"/>
      <c r="S59" s="1"/>
      <c r="T59" s="1"/>
      <c r="U59" s="1"/>
    </row>
    <row r="60" spans="2:21">
      <c r="B60" t="str">
        <f t="shared" si="11"/>
        <v/>
      </c>
      <c r="C60" s="155">
        <f t="shared" si="9"/>
        <v>2055</v>
      </c>
      <c r="D60" s="164"/>
      <c r="E60" s="162">
        <f t="shared" si="10"/>
        <v>0</v>
      </c>
      <c r="F60" s="161">
        <f t="shared" si="12"/>
        <v>0</v>
      </c>
      <c r="G60" s="163">
        <f t="shared" si="6"/>
        <v>0</v>
      </c>
      <c r="H60" s="145">
        <f t="shared" si="7"/>
        <v>0</v>
      </c>
      <c r="I60" s="158">
        <f t="shared" si="13"/>
        <v>0</v>
      </c>
      <c r="J60" s="158"/>
      <c r="K60" s="316"/>
      <c r="L60" s="160">
        <f t="shared" si="14"/>
        <v>0</v>
      </c>
      <c r="M60" s="316"/>
      <c r="N60" s="160">
        <f t="shared" si="15"/>
        <v>0</v>
      </c>
      <c r="O60" s="160">
        <f t="shared" si="16"/>
        <v>0</v>
      </c>
      <c r="P60" s="4"/>
      <c r="R60" s="1"/>
      <c r="S60" s="1"/>
      <c r="T60" s="1"/>
      <c r="U60" s="1"/>
    </row>
    <row r="61" spans="2:21">
      <c r="B61" t="str">
        <f t="shared" si="11"/>
        <v/>
      </c>
      <c r="C61" s="155">
        <f t="shared" si="9"/>
        <v>2056</v>
      </c>
      <c r="D61" s="164"/>
      <c r="E61" s="162">
        <f t="shared" si="10"/>
        <v>0</v>
      </c>
      <c r="F61" s="161">
        <f t="shared" si="12"/>
        <v>0</v>
      </c>
      <c r="G61" s="163">
        <f t="shared" si="6"/>
        <v>0</v>
      </c>
      <c r="H61" s="145">
        <f t="shared" si="7"/>
        <v>0</v>
      </c>
      <c r="I61" s="158">
        <f t="shared" si="13"/>
        <v>0</v>
      </c>
      <c r="J61" s="158"/>
      <c r="K61" s="316"/>
      <c r="L61" s="160">
        <f t="shared" si="14"/>
        <v>0</v>
      </c>
      <c r="M61" s="316"/>
      <c r="N61" s="160">
        <f t="shared" si="15"/>
        <v>0</v>
      </c>
      <c r="O61" s="160">
        <f t="shared" si="16"/>
        <v>0</v>
      </c>
      <c r="P61" s="4"/>
      <c r="R61" s="1"/>
      <c r="S61" s="1"/>
      <c r="T61" s="1"/>
      <c r="U61" s="1"/>
    </row>
    <row r="62" spans="2:21">
      <c r="B62" t="str">
        <f t="shared" si="11"/>
        <v/>
      </c>
      <c r="C62" s="155">
        <f t="shared" si="9"/>
        <v>2057</v>
      </c>
      <c r="D62" s="164"/>
      <c r="E62" s="162">
        <f t="shared" si="10"/>
        <v>0</v>
      </c>
      <c r="F62" s="161">
        <f t="shared" si="12"/>
        <v>0</v>
      </c>
      <c r="G62" s="165">
        <f t="shared" si="6"/>
        <v>0</v>
      </c>
      <c r="H62" s="145">
        <f t="shared" si="7"/>
        <v>0</v>
      </c>
      <c r="I62" s="158">
        <f t="shared" si="13"/>
        <v>0</v>
      </c>
      <c r="J62" s="158"/>
      <c r="K62" s="316"/>
      <c r="L62" s="160">
        <f t="shared" si="14"/>
        <v>0</v>
      </c>
      <c r="M62" s="316"/>
      <c r="N62" s="160">
        <f t="shared" si="15"/>
        <v>0</v>
      </c>
      <c r="O62" s="160">
        <f t="shared" si="16"/>
        <v>0</v>
      </c>
      <c r="P62" s="4"/>
      <c r="R62" s="1"/>
      <c r="S62" s="1"/>
      <c r="T62" s="1"/>
      <c r="U62" s="1"/>
    </row>
    <row r="63" spans="2:21">
      <c r="B63" t="str">
        <f t="shared" si="11"/>
        <v/>
      </c>
      <c r="C63" s="155">
        <f t="shared" si="9"/>
        <v>2058</v>
      </c>
      <c r="D63" s="164"/>
      <c r="E63" s="162">
        <f t="shared" si="10"/>
        <v>0</v>
      </c>
      <c r="F63" s="161">
        <f t="shared" si="12"/>
        <v>0</v>
      </c>
      <c r="G63" s="165">
        <f t="shared" si="6"/>
        <v>0</v>
      </c>
      <c r="H63" s="145">
        <f t="shared" si="7"/>
        <v>0</v>
      </c>
      <c r="I63" s="158">
        <f t="shared" si="13"/>
        <v>0</v>
      </c>
      <c r="J63" s="158"/>
      <c r="K63" s="316"/>
      <c r="L63" s="160">
        <f t="shared" si="14"/>
        <v>0</v>
      </c>
      <c r="M63" s="316"/>
      <c r="N63" s="160">
        <f t="shared" si="15"/>
        <v>0</v>
      </c>
      <c r="O63" s="160">
        <f t="shared" si="16"/>
        <v>0</v>
      </c>
      <c r="P63" s="4"/>
      <c r="R63" s="1"/>
      <c r="S63" s="1"/>
      <c r="T63" s="1"/>
      <c r="U63" s="1"/>
    </row>
    <row r="64" spans="2:21">
      <c r="B64" t="str">
        <f t="shared" si="11"/>
        <v/>
      </c>
      <c r="C64" s="155">
        <f t="shared" si="9"/>
        <v>2059</v>
      </c>
      <c r="D64" s="164"/>
      <c r="E64" s="162">
        <f t="shared" si="10"/>
        <v>0</v>
      </c>
      <c r="F64" s="161">
        <f t="shared" si="12"/>
        <v>0</v>
      </c>
      <c r="G64" s="165">
        <f t="shared" si="6"/>
        <v>0</v>
      </c>
      <c r="H64" s="145">
        <f t="shared" si="7"/>
        <v>0</v>
      </c>
      <c r="I64" s="158">
        <f t="shared" si="13"/>
        <v>0</v>
      </c>
      <c r="J64" s="158"/>
      <c r="K64" s="316"/>
      <c r="L64" s="160">
        <f t="shared" si="14"/>
        <v>0</v>
      </c>
      <c r="M64" s="316"/>
      <c r="N64" s="160">
        <f t="shared" si="15"/>
        <v>0</v>
      </c>
      <c r="O64" s="160">
        <f t="shared" si="16"/>
        <v>0</v>
      </c>
      <c r="P64" s="4"/>
      <c r="R64" s="1"/>
      <c r="S64" s="1"/>
      <c r="T64" s="1"/>
      <c r="U64" s="1"/>
    </row>
    <row r="65" spans="2:21">
      <c r="B65" t="str">
        <f t="shared" si="11"/>
        <v/>
      </c>
      <c r="C65" s="155">
        <f t="shared" si="9"/>
        <v>2060</v>
      </c>
      <c r="D65" s="164"/>
      <c r="E65" s="162">
        <f t="shared" si="10"/>
        <v>0</v>
      </c>
      <c r="F65" s="161">
        <f t="shared" si="12"/>
        <v>0</v>
      </c>
      <c r="G65" s="165">
        <f t="shared" si="6"/>
        <v>0</v>
      </c>
      <c r="H65" s="145">
        <f t="shared" si="7"/>
        <v>0</v>
      </c>
      <c r="I65" s="158">
        <f t="shared" si="13"/>
        <v>0</v>
      </c>
      <c r="J65" s="158"/>
      <c r="K65" s="316"/>
      <c r="L65" s="160">
        <f t="shared" si="14"/>
        <v>0</v>
      </c>
      <c r="M65" s="316"/>
      <c r="N65" s="160">
        <f t="shared" si="15"/>
        <v>0</v>
      </c>
      <c r="O65" s="160">
        <f t="shared" si="16"/>
        <v>0</v>
      </c>
      <c r="P65" s="4"/>
      <c r="R65" s="1"/>
      <c r="S65" s="1"/>
      <c r="T65" s="1"/>
      <c r="U65" s="1"/>
    </row>
    <row r="66" spans="2:21">
      <c r="B66" t="str">
        <f t="shared" si="11"/>
        <v/>
      </c>
      <c r="C66" s="155">
        <f t="shared" si="9"/>
        <v>2061</v>
      </c>
      <c r="D66" s="164"/>
      <c r="E66" s="162">
        <f t="shared" si="10"/>
        <v>0</v>
      </c>
      <c r="F66" s="161">
        <f t="shared" si="12"/>
        <v>0</v>
      </c>
      <c r="G66" s="165">
        <f t="shared" si="6"/>
        <v>0</v>
      </c>
      <c r="H66" s="145">
        <f t="shared" si="7"/>
        <v>0</v>
      </c>
      <c r="I66" s="158">
        <f t="shared" si="13"/>
        <v>0</v>
      </c>
      <c r="J66" s="158"/>
      <c r="K66" s="316"/>
      <c r="L66" s="160">
        <f t="shared" si="14"/>
        <v>0</v>
      </c>
      <c r="M66" s="316"/>
      <c r="N66" s="160">
        <f t="shared" si="15"/>
        <v>0</v>
      </c>
      <c r="O66" s="160">
        <f t="shared" si="16"/>
        <v>0</v>
      </c>
      <c r="P66" s="4"/>
      <c r="R66" s="1"/>
      <c r="S66" s="1"/>
      <c r="T66" s="1"/>
      <c r="U66" s="1"/>
    </row>
    <row r="67" spans="2:21">
      <c r="B67" t="str">
        <f t="shared" si="11"/>
        <v/>
      </c>
      <c r="C67" s="155">
        <f t="shared" si="9"/>
        <v>2062</v>
      </c>
      <c r="D67" s="164"/>
      <c r="E67" s="162">
        <f t="shared" si="10"/>
        <v>0</v>
      </c>
      <c r="F67" s="161">
        <f t="shared" si="12"/>
        <v>0</v>
      </c>
      <c r="G67" s="165">
        <f t="shared" si="6"/>
        <v>0</v>
      </c>
      <c r="H67" s="145">
        <f t="shared" si="7"/>
        <v>0</v>
      </c>
      <c r="I67" s="158">
        <f t="shared" si="13"/>
        <v>0</v>
      </c>
      <c r="J67" s="158"/>
      <c r="K67" s="316"/>
      <c r="L67" s="160">
        <f t="shared" si="14"/>
        <v>0</v>
      </c>
      <c r="M67" s="316"/>
      <c r="N67" s="160">
        <f t="shared" si="15"/>
        <v>0</v>
      </c>
      <c r="O67" s="160">
        <f t="shared" si="16"/>
        <v>0</v>
      </c>
      <c r="P67" s="4"/>
      <c r="R67" s="1"/>
      <c r="S67" s="1"/>
      <c r="T67" s="1"/>
      <c r="U67" s="1"/>
    </row>
    <row r="68" spans="2:21">
      <c r="B68" t="str">
        <f t="shared" si="11"/>
        <v/>
      </c>
      <c r="C68" s="155">
        <f t="shared" si="9"/>
        <v>2063</v>
      </c>
      <c r="D68" s="164"/>
      <c r="E68" s="162">
        <f t="shared" si="10"/>
        <v>0</v>
      </c>
      <c r="F68" s="161">
        <f t="shared" si="12"/>
        <v>0</v>
      </c>
      <c r="G68" s="165">
        <f t="shared" si="6"/>
        <v>0</v>
      </c>
      <c r="H68" s="145">
        <f t="shared" si="7"/>
        <v>0</v>
      </c>
      <c r="I68" s="158">
        <f t="shared" si="13"/>
        <v>0</v>
      </c>
      <c r="J68" s="158"/>
      <c r="K68" s="316"/>
      <c r="L68" s="160">
        <f t="shared" si="14"/>
        <v>0</v>
      </c>
      <c r="M68" s="316"/>
      <c r="N68" s="160">
        <f t="shared" si="15"/>
        <v>0</v>
      </c>
      <c r="O68" s="160">
        <f t="shared" si="16"/>
        <v>0</v>
      </c>
      <c r="P68" s="4"/>
      <c r="R68" s="1"/>
      <c r="S68" s="1"/>
      <c r="T68" s="1"/>
      <c r="U68" s="1"/>
    </row>
    <row r="69" spans="2:21">
      <c r="B69" t="str">
        <f t="shared" si="11"/>
        <v/>
      </c>
      <c r="C69" s="155">
        <f t="shared" si="9"/>
        <v>2064</v>
      </c>
      <c r="D69" s="164"/>
      <c r="E69" s="162">
        <f t="shared" si="10"/>
        <v>0</v>
      </c>
      <c r="F69" s="161">
        <f t="shared" si="12"/>
        <v>0</v>
      </c>
      <c r="G69" s="165">
        <f t="shared" si="6"/>
        <v>0</v>
      </c>
      <c r="H69" s="145">
        <f t="shared" si="7"/>
        <v>0</v>
      </c>
      <c r="I69" s="158">
        <f t="shared" si="13"/>
        <v>0</v>
      </c>
      <c r="J69" s="158"/>
      <c r="K69" s="316"/>
      <c r="L69" s="160">
        <f t="shared" si="14"/>
        <v>0</v>
      </c>
      <c r="M69" s="316"/>
      <c r="N69" s="160">
        <f t="shared" si="15"/>
        <v>0</v>
      </c>
      <c r="O69" s="160">
        <f t="shared" si="16"/>
        <v>0</v>
      </c>
      <c r="P69" s="4"/>
      <c r="R69" s="1"/>
      <c r="S69" s="1"/>
      <c r="T69" s="1"/>
      <c r="U69" s="1"/>
    </row>
    <row r="70" spans="2:21">
      <c r="B70" t="str">
        <f t="shared" si="11"/>
        <v/>
      </c>
      <c r="C70" s="155">
        <f t="shared" si="9"/>
        <v>2065</v>
      </c>
      <c r="D70" s="164"/>
      <c r="E70" s="162">
        <f t="shared" si="10"/>
        <v>0</v>
      </c>
      <c r="F70" s="161">
        <f t="shared" si="12"/>
        <v>0</v>
      </c>
      <c r="G70" s="165">
        <f t="shared" si="6"/>
        <v>0</v>
      </c>
      <c r="H70" s="145">
        <f t="shared" si="7"/>
        <v>0</v>
      </c>
      <c r="I70" s="158">
        <f t="shared" si="13"/>
        <v>0</v>
      </c>
      <c r="J70" s="158"/>
      <c r="K70" s="316"/>
      <c r="L70" s="160">
        <f t="shared" si="14"/>
        <v>0</v>
      </c>
      <c r="M70" s="316"/>
      <c r="N70" s="160">
        <f t="shared" si="15"/>
        <v>0</v>
      </c>
      <c r="O70" s="160">
        <f t="shared" si="16"/>
        <v>0</v>
      </c>
      <c r="P70" s="4"/>
      <c r="R70" s="1"/>
      <c r="S70" s="1"/>
      <c r="T70" s="1"/>
      <c r="U70" s="1"/>
    </row>
    <row r="71" spans="2:21">
      <c r="B71" t="str">
        <f t="shared" si="11"/>
        <v/>
      </c>
      <c r="C71" s="155">
        <f t="shared" si="9"/>
        <v>2066</v>
      </c>
      <c r="D71" s="164"/>
      <c r="E71" s="162">
        <f t="shared" si="10"/>
        <v>0</v>
      </c>
      <c r="F71" s="161">
        <f t="shared" si="12"/>
        <v>0</v>
      </c>
      <c r="G71" s="165">
        <f t="shared" si="6"/>
        <v>0</v>
      </c>
      <c r="H71" s="145">
        <f t="shared" si="7"/>
        <v>0</v>
      </c>
      <c r="I71" s="158">
        <f t="shared" si="13"/>
        <v>0</v>
      </c>
      <c r="J71" s="158"/>
      <c r="K71" s="316"/>
      <c r="L71" s="160">
        <f t="shared" si="14"/>
        <v>0</v>
      </c>
      <c r="M71" s="316"/>
      <c r="N71" s="160">
        <f t="shared" si="15"/>
        <v>0</v>
      </c>
      <c r="O71" s="160">
        <f t="shared" si="16"/>
        <v>0</v>
      </c>
      <c r="P71" s="4"/>
      <c r="R71" s="1"/>
      <c r="S71" s="1"/>
      <c r="T71" s="1"/>
      <c r="U71" s="1"/>
    </row>
    <row r="72" spans="2:21">
      <c r="B72" t="str">
        <f t="shared" si="11"/>
        <v/>
      </c>
      <c r="C72" s="155">
        <f t="shared" si="9"/>
        <v>2067</v>
      </c>
      <c r="D72" s="164"/>
      <c r="E72" s="162">
        <f t="shared" si="10"/>
        <v>0</v>
      </c>
      <c r="F72" s="161">
        <f t="shared" si="12"/>
        <v>0</v>
      </c>
      <c r="G72" s="165">
        <f t="shared" si="6"/>
        <v>0</v>
      </c>
      <c r="H72" s="145">
        <f t="shared" si="7"/>
        <v>0</v>
      </c>
      <c r="I72" s="158">
        <f t="shared" si="13"/>
        <v>0</v>
      </c>
      <c r="J72" s="158"/>
      <c r="K72" s="316"/>
      <c r="L72" s="160">
        <f t="shared" si="14"/>
        <v>0</v>
      </c>
      <c r="M72" s="316"/>
      <c r="N72" s="160">
        <f t="shared" si="15"/>
        <v>0</v>
      </c>
      <c r="O72" s="160">
        <f t="shared" si="16"/>
        <v>0</v>
      </c>
      <c r="P72" s="4"/>
      <c r="R72" s="1"/>
      <c r="S72" s="1"/>
      <c r="T72" s="1"/>
      <c r="U72" s="1"/>
    </row>
    <row r="73" spans="2:21" ht="13.5" thickBot="1">
      <c r="B73" t="str">
        <f t="shared" si="11"/>
        <v/>
      </c>
      <c r="C73" s="166">
        <f t="shared" si="9"/>
        <v>2068</v>
      </c>
      <c r="D73" s="349"/>
      <c r="E73" s="168">
        <f t="shared" si="10"/>
        <v>0</v>
      </c>
      <c r="F73" s="167">
        <f t="shared" si="12"/>
        <v>0</v>
      </c>
      <c r="G73" s="169">
        <f t="shared" si="6"/>
        <v>0</v>
      </c>
      <c r="H73" s="127">
        <f t="shared" si="7"/>
        <v>0</v>
      </c>
      <c r="I73" s="170">
        <f t="shared" si="13"/>
        <v>0</v>
      </c>
      <c r="J73" s="158"/>
      <c r="K73" s="317"/>
      <c r="L73" s="171">
        <f t="shared" si="14"/>
        <v>0</v>
      </c>
      <c r="M73" s="317"/>
      <c r="N73" s="171">
        <f t="shared" si="15"/>
        <v>0</v>
      </c>
      <c r="O73" s="171">
        <f t="shared" si="16"/>
        <v>0</v>
      </c>
      <c r="P73" s="4"/>
      <c r="R73" s="1"/>
      <c r="S73" s="1"/>
      <c r="T73" s="1"/>
      <c r="U73" s="1"/>
    </row>
    <row r="74" spans="2:21">
      <c r="C74" s="156" t="s">
        <v>75</v>
      </c>
      <c r="D74" s="112"/>
      <c r="E74" s="112">
        <f>SUM(E17:E73)</f>
        <v>45573.039110189922</v>
      </c>
      <c r="F74" s="112"/>
      <c r="G74" s="112">
        <f>SUM(G17:G73)</f>
        <v>423078.95453720703</v>
      </c>
      <c r="H74" s="112">
        <f>SUM(H17:H73)</f>
        <v>423078.95453720703</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1" t="str">
        <f ca="1">P1</f>
        <v>OKT Project 5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0</v>
      </c>
      <c r="N88" s="198">
        <f>IF(J93&lt;D11,0,VLOOKUP(J93,C17:O73,11))</f>
        <v>0</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0</v>
      </c>
      <c r="N89" s="200">
        <f>IF(J93&lt;D11,0,VLOOKUP(J93,C100:P155,7))</f>
        <v>0</v>
      </c>
      <c r="O89" s="201">
        <f>+N89-M89</f>
        <v>0</v>
      </c>
      <c r="P89" s="1"/>
      <c r="Q89" s="1"/>
      <c r="R89" s="1"/>
      <c r="S89" s="1"/>
      <c r="T89" s="1"/>
      <c r="U89" s="1"/>
    </row>
    <row r="90" spans="1:21" ht="13.5" thickBot="1">
      <c r="C90" s="124" t="s">
        <v>82</v>
      </c>
      <c r="D90" s="243" t="str">
        <f>+D7</f>
        <v>Install 345kV terminal at Valliant***</v>
      </c>
      <c r="E90" s="1"/>
      <c r="F90" s="1"/>
      <c r="G90" s="1"/>
      <c r="H90" s="1"/>
      <c r="I90" s="3"/>
      <c r="J90" s="3"/>
      <c r="K90" s="256"/>
      <c r="L90" s="257" t="s">
        <v>135</v>
      </c>
      <c r="M90" s="203">
        <f>+M89-M88</f>
        <v>0</v>
      </c>
      <c r="N90" s="203">
        <f>+N89-N88</f>
        <v>0</v>
      </c>
      <c r="O90" s="204">
        <f>+O89-O88</f>
        <v>0</v>
      </c>
      <c r="P90" s="1"/>
      <c r="Q90" s="1"/>
      <c r="R90" s="1"/>
      <c r="S90" s="1"/>
      <c r="T90" s="1"/>
      <c r="U90" s="1"/>
    </row>
    <row r="91" spans="1:21" ht="13.5" thickBot="1">
      <c r="C91" s="172"/>
      <c r="D91" s="350" t="s">
        <v>210</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TP2007167</v>
      </c>
      <c r="E92" s="206"/>
      <c r="F92" s="206"/>
      <c r="G92" s="206"/>
      <c r="H92" s="206"/>
      <c r="I92" s="206"/>
      <c r="J92" s="206"/>
      <c r="K92" s="207"/>
      <c r="P92" s="134"/>
      <c r="Q92" s="1"/>
      <c r="R92" s="1"/>
      <c r="S92" s="1"/>
      <c r="T92" s="1"/>
      <c r="U92" s="1"/>
    </row>
    <row r="93" spans="1:21">
      <c r="C93" s="139" t="s">
        <v>49</v>
      </c>
      <c r="D93" s="217">
        <f>IF(D11=I10,0,D10)</f>
        <v>0</v>
      </c>
      <c r="E93" s="23" t="s">
        <v>84</v>
      </c>
      <c r="H93" s="137"/>
      <c r="I93" s="137"/>
      <c r="J93" s="138">
        <f>+'OKT.WS.G.BPU.ATRR.True-up'!M16</f>
        <v>2018</v>
      </c>
      <c r="K93" s="133"/>
      <c r="L93" s="112" t="s">
        <v>85</v>
      </c>
      <c r="P93" s="4"/>
      <c r="Q93" s="1"/>
      <c r="R93" s="1"/>
      <c r="S93" s="1"/>
      <c r="T93" s="1"/>
      <c r="U93" s="1"/>
    </row>
    <row r="94" spans="1:21">
      <c r="C94" s="139" t="s">
        <v>52</v>
      </c>
      <c r="D94" s="218">
        <f>IF(D11=I10,"",D11)</f>
        <v>2012</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f>IF(D11=I10,"",D12)</f>
        <v>4</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0</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319" t="s">
        <v>177</v>
      </c>
      <c r="M98" s="149" t="s">
        <v>89</v>
      </c>
      <c r="N98" s="319" t="s">
        <v>177</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 t="shared" ref="B100:B131" si="17">IF(D100=F99,"","IU")</f>
        <v>IU</v>
      </c>
      <c r="C100" s="155">
        <f>IF(D94= "","-",D94)</f>
        <v>2012</v>
      </c>
      <c r="D100" s="156">
        <f>IF(D94=C100,0,IF(D93&lt;100000,0,D93))</f>
        <v>0</v>
      </c>
      <c r="E100" s="163">
        <f>IF(OR(D11=I10,D93&lt;100000),0,J97/12*(12-D95))</f>
        <v>0</v>
      </c>
      <c r="F100" s="161">
        <f>IF(D94=C100,+D93-E100,+D100-E100)</f>
        <v>0</v>
      </c>
      <c r="G100" s="213">
        <f t="shared" ref="G100:G131" si="18">+(F100+D100)/2</f>
        <v>0</v>
      </c>
      <c r="H100" s="213">
        <f t="shared" ref="H100:H131" si="19">+J$95*G100+E100</f>
        <v>0</v>
      </c>
      <c r="I100" s="213">
        <f t="shared" ref="I100:I131" si="20">+J$96*G100+E100</f>
        <v>0</v>
      </c>
      <c r="J100" s="160">
        <f t="shared" ref="J100:J131" si="21">+I100-H100</f>
        <v>0</v>
      </c>
      <c r="K100" s="160"/>
      <c r="L100" s="315"/>
      <c r="M100" s="159">
        <f t="shared" ref="M100:M131" si="22">IF(L100&lt;&gt;0,+H100-L100,0)</f>
        <v>0</v>
      </c>
      <c r="N100" s="315"/>
      <c r="O100" s="159">
        <f t="shared" ref="O100:O131" si="23">IF(N100&lt;&gt;0,+I100-N100,0)</f>
        <v>0</v>
      </c>
      <c r="P100" s="159">
        <f t="shared" ref="P100:P131" si="24">+O100-M100</f>
        <v>0</v>
      </c>
      <c r="Q100" s="1"/>
      <c r="R100" s="1"/>
      <c r="S100" s="1"/>
      <c r="T100" s="1"/>
      <c r="U100" s="1"/>
    </row>
    <row r="101" spans="1:21">
      <c r="B101" t="str">
        <f t="shared" si="17"/>
        <v/>
      </c>
      <c r="C101" s="155">
        <f>IF(D94="","-",+C100+1)</f>
        <v>2013</v>
      </c>
      <c r="D101" s="156">
        <f>IF(F100+SUM(E$100:E100)=D$93,F100,D$93-SUM(E$100:E100))</f>
        <v>0</v>
      </c>
      <c r="E101" s="162">
        <f>IF(+J97&lt;F100,J97,D101)</f>
        <v>0</v>
      </c>
      <c r="F101" s="161">
        <f t="shared" ref="F101:F132" si="25">+D101-E101</f>
        <v>0</v>
      </c>
      <c r="G101" s="161">
        <f t="shared" si="18"/>
        <v>0</v>
      </c>
      <c r="H101" s="165">
        <f t="shared" si="19"/>
        <v>0</v>
      </c>
      <c r="I101" s="299">
        <f t="shared" si="20"/>
        <v>0</v>
      </c>
      <c r="J101" s="160">
        <f t="shared" si="21"/>
        <v>0</v>
      </c>
      <c r="K101" s="160"/>
      <c r="L101" s="316"/>
      <c r="M101" s="160">
        <f t="shared" si="22"/>
        <v>0</v>
      </c>
      <c r="N101" s="316"/>
      <c r="O101" s="160">
        <f t="shared" si="23"/>
        <v>0</v>
      </c>
      <c r="P101" s="160">
        <f t="shared" si="24"/>
        <v>0</v>
      </c>
      <c r="Q101" s="1"/>
      <c r="R101" s="1"/>
      <c r="S101" s="1"/>
      <c r="T101" s="1"/>
      <c r="U101" s="1"/>
    </row>
    <row r="102" spans="1:21">
      <c r="B102" t="str">
        <f t="shared" si="17"/>
        <v/>
      </c>
      <c r="C102" s="155">
        <f>IF(D94="","-",+C101+1)</f>
        <v>2014</v>
      </c>
      <c r="D102" s="156">
        <f>IF(F101+SUM(E$100:E101)=D$93,F101,D$93-SUM(E$100:E101))</f>
        <v>0</v>
      </c>
      <c r="E102" s="162">
        <f>IF(+J97&lt;F101,J97,D102)</f>
        <v>0</v>
      </c>
      <c r="F102" s="161">
        <f t="shared" si="25"/>
        <v>0</v>
      </c>
      <c r="G102" s="161">
        <f t="shared" si="18"/>
        <v>0</v>
      </c>
      <c r="H102" s="165">
        <f t="shared" si="19"/>
        <v>0</v>
      </c>
      <c r="I102" s="299">
        <f t="shared" si="20"/>
        <v>0</v>
      </c>
      <c r="J102" s="160">
        <f t="shared" si="21"/>
        <v>0</v>
      </c>
      <c r="K102" s="160"/>
      <c r="L102" s="316"/>
      <c r="M102" s="160">
        <f t="shared" si="22"/>
        <v>0</v>
      </c>
      <c r="N102" s="316"/>
      <c r="O102" s="160">
        <f t="shared" si="23"/>
        <v>0</v>
      </c>
      <c r="P102" s="160">
        <f t="shared" si="24"/>
        <v>0</v>
      </c>
      <c r="Q102" s="1"/>
      <c r="R102" s="1"/>
      <c r="S102" s="1"/>
      <c r="T102" s="1"/>
      <c r="U102" s="1"/>
    </row>
    <row r="103" spans="1:21">
      <c r="B103" t="str">
        <f t="shared" si="17"/>
        <v/>
      </c>
      <c r="C103" s="155">
        <f>IF(D94="","-",+C102+1)</f>
        <v>2015</v>
      </c>
      <c r="D103" s="156">
        <f>IF(F102+SUM(E$100:E102)=D$93,F102,D$93-SUM(E$100:E102))</f>
        <v>0</v>
      </c>
      <c r="E103" s="162">
        <f>IF(+J97&lt;F102,J97,D103)</f>
        <v>0</v>
      </c>
      <c r="F103" s="161">
        <f t="shared" si="25"/>
        <v>0</v>
      </c>
      <c r="G103" s="161">
        <f t="shared" si="18"/>
        <v>0</v>
      </c>
      <c r="H103" s="165">
        <f t="shared" si="19"/>
        <v>0</v>
      </c>
      <c r="I103" s="299">
        <f t="shared" si="20"/>
        <v>0</v>
      </c>
      <c r="J103" s="160">
        <f t="shared" si="21"/>
        <v>0</v>
      </c>
      <c r="K103" s="160"/>
      <c r="L103" s="316"/>
      <c r="M103" s="160">
        <f t="shared" si="22"/>
        <v>0</v>
      </c>
      <c r="N103" s="316"/>
      <c r="O103" s="160">
        <f t="shared" si="23"/>
        <v>0</v>
      </c>
      <c r="P103" s="160">
        <f t="shared" si="24"/>
        <v>0</v>
      </c>
      <c r="Q103" s="1"/>
      <c r="R103" s="1"/>
      <c r="S103" s="1"/>
      <c r="T103" s="1"/>
      <c r="U103" s="1"/>
    </row>
    <row r="104" spans="1:21">
      <c r="B104" t="str">
        <f t="shared" si="17"/>
        <v/>
      </c>
      <c r="C104" s="155">
        <f>IF(D94="","-",+C103+1)</f>
        <v>2016</v>
      </c>
      <c r="D104" s="156">
        <f>IF(F103+SUM(E$100:E103)=D$93,F103,D$93-SUM(E$100:E103))</f>
        <v>0</v>
      </c>
      <c r="E104" s="162">
        <f>IF(+J97&lt;F103,J97,D104)</f>
        <v>0</v>
      </c>
      <c r="F104" s="161">
        <f t="shared" si="25"/>
        <v>0</v>
      </c>
      <c r="G104" s="161">
        <f t="shared" si="18"/>
        <v>0</v>
      </c>
      <c r="H104" s="165">
        <f t="shared" si="19"/>
        <v>0</v>
      </c>
      <c r="I104" s="299">
        <f t="shared" si="20"/>
        <v>0</v>
      </c>
      <c r="J104" s="160">
        <f t="shared" si="21"/>
        <v>0</v>
      </c>
      <c r="K104" s="160"/>
      <c r="L104" s="316"/>
      <c r="M104" s="160">
        <f t="shared" si="22"/>
        <v>0</v>
      </c>
      <c r="N104" s="316"/>
      <c r="O104" s="160">
        <f t="shared" si="23"/>
        <v>0</v>
      </c>
      <c r="P104" s="160">
        <f t="shared" si="24"/>
        <v>0</v>
      </c>
      <c r="Q104" s="1"/>
      <c r="R104" s="1"/>
      <c r="S104" s="1"/>
      <c r="T104" s="1"/>
      <c r="U104" s="1"/>
    </row>
    <row r="105" spans="1:21">
      <c r="B105" t="str">
        <f t="shared" si="17"/>
        <v/>
      </c>
      <c r="C105" s="155">
        <f>IF(D94="","-",+C104+1)</f>
        <v>2017</v>
      </c>
      <c r="D105" s="156">
        <f>IF(F104+SUM(E$100:E104)=D$93,F104,D$93-SUM(E$100:E104))</f>
        <v>0</v>
      </c>
      <c r="E105" s="162">
        <f>IF(+J97&lt;F104,J97,D105)</f>
        <v>0</v>
      </c>
      <c r="F105" s="161">
        <f t="shared" si="25"/>
        <v>0</v>
      </c>
      <c r="G105" s="161">
        <f t="shared" si="18"/>
        <v>0</v>
      </c>
      <c r="H105" s="165">
        <f t="shared" si="19"/>
        <v>0</v>
      </c>
      <c r="I105" s="299">
        <f t="shared" si="20"/>
        <v>0</v>
      </c>
      <c r="J105" s="160">
        <f t="shared" si="21"/>
        <v>0</v>
      </c>
      <c r="K105" s="160"/>
      <c r="L105" s="316"/>
      <c r="M105" s="160">
        <f t="shared" si="22"/>
        <v>0</v>
      </c>
      <c r="N105" s="316"/>
      <c r="O105" s="160">
        <f t="shared" si="23"/>
        <v>0</v>
      </c>
      <c r="P105" s="160">
        <f t="shared" si="24"/>
        <v>0</v>
      </c>
      <c r="Q105" s="1"/>
      <c r="R105" s="1"/>
      <c r="S105" s="1"/>
      <c r="T105" s="1"/>
      <c r="U105" s="1"/>
    </row>
    <row r="106" spans="1:21">
      <c r="B106" t="str">
        <f t="shared" si="17"/>
        <v/>
      </c>
      <c r="C106" s="155">
        <f>IF(D94="","-",+C105+1)</f>
        <v>2018</v>
      </c>
      <c r="D106" s="156">
        <f>IF(F105+SUM(E$100:E105)=D$93,F105,D$93-SUM(E$100:E105))</f>
        <v>0</v>
      </c>
      <c r="E106" s="162">
        <f>IF(+J97&lt;F105,J97,D106)</f>
        <v>0</v>
      </c>
      <c r="F106" s="161">
        <f t="shared" si="25"/>
        <v>0</v>
      </c>
      <c r="G106" s="161">
        <f t="shared" si="18"/>
        <v>0</v>
      </c>
      <c r="H106" s="165">
        <f t="shared" si="19"/>
        <v>0</v>
      </c>
      <c r="I106" s="299">
        <f t="shared" si="20"/>
        <v>0</v>
      </c>
      <c r="J106" s="160">
        <f t="shared" si="21"/>
        <v>0</v>
      </c>
      <c r="K106" s="160"/>
      <c r="L106" s="316"/>
      <c r="M106" s="160">
        <f t="shared" si="22"/>
        <v>0</v>
      </c>
      <c r="N106" s="316"/>
      <c r="O106" s="160">
        <f t="shared" si="23"/>
        <v>0</v>
      </c>
      <c r="P106" s="160">
        <f t="shared" si="24"/>
        <v>0</v>
      </c>
      <c r="Q106" s="1"/>
      <c r="R106" s="1"/>
      <c r="S106" s="1"/>
      <c r="T106" s="1"/>
      <c r="U106" s="1"/>
    </row>
    <row r="107" spans="1:21">
      <c r="B107" t="str">
        <f t="shared" si="17"/>
        <v/>
      </c>
      <c r="C107" s="155">
        <f>IF(D94="","-",+C106+1)</f>
        <v>2019</v>
      </c>
      <c r="D107" s="156">
        <f>IF(F106+SUM(E$100:E106)=D$93,F106,D$93-SUM(E$100:E106))</f>
        <v>0</v>
      </c>
      <c r="E107" s="162">
        <f>IF(+J97&lt;F106,J97,D107)</f>
        <v>0</v>
      </c>
      <c r="F107" s="161">
        <f t="shared" si="25"/>
        <v>0</v>
      </c>
      <c r="G107" s="161">
        <f t="shared" si="18"/>
        <v>0</v>
      </c>
      <c r="H107" s="165">
        <f t="shared" si="19"/>
        <v>0</v>
      </c>
      <c r="I107" s="299">
        <f t="shared" si="20"/>
        <v>0</v>
      </c>
      <c r="J107" s="160">
        <f t="shared" si="21"/>
        <v>0</v>
      </c>
      <c r="K107" s="160"/>
      <c r="L107" s="316"/>
      <c r="M107" s="160">
        <f t="shared" si="22"/>
        <v>0</v>
      </c>
      <c r="N107" s="316"/>
      <c r="O107" s="160">
        <f t="shared" si="23"/>
        <v>0</v>
      </c>
      <c r="P107" s="160">
        <f t="shared" si="24"/>
        <v>0</v>
      </c>
      <c r="Q107" s="1"/>
      <c r="R107" s="1"/>
      <c r="S107" s="1"/>
      <c r="T107" s="1"/>
      <c r="U107" s="1"/>
    </row>
    <row r="108" spans="1:21">
      <c r="B108" t="str">
        <f t="shared" si="17"/>
        <v/>
      </c>
      <c r="C108" s="155">
        <f>IF(D94="","-",+C107+1)</f>
        <v>2020</v>
      </c>
      <c r="D108" s="156">
        <f>IF(F107+SUM(E$100:E107)=D$93,F107,D$93-SUM(E$100:E107))</f>
        <v>0</v>
      </c>
      <c r="E108" s="162">
        <f>IF(+J97&lt;F107,J97,D108)</f>
        <v>0</v>
      </c>
      <c r="F108" s="161">
        <f t="shared" si="25"/>
        <v>0</v>
      </c>
      <c r="G108" s="161">
        <f t="shared" si="18"/>
        <v>0</v>
      </c>
      <c r="H108" s="165">
        <f t="shared" si="19"/>
        <v>0</v>
      </c>
      <c r="I108" s="299">
        <f t="shared" si="20"/>
        <v>0</v>
      </c>
      <c r="J108" s="160">
        <f t="shared" si="21"/>
        <v>0</v>
      </c>
      <c r="K108" s="160"/>
      <c r="L108" s="316"/>
      <c r="M108" s="160">
        <f t="shared" si="22"/>
        <v>0</v>
      </c>
      <c r="N108" s="316"/>
      <c r="O108" s="160">
        <f t="shared" si="23"/>
        <v>0</v>
      </c>
      <c r="P108" s="160">
        <f t="shared" si="24"/>
        <v>0</v>
      </c>
      <c r="Q108" s="1"/>
      <c r="R108" s="1"/>
      <c r="S108" s="1"/>
      <c r="T108" s="1"/>
      <c r="U108" s="1"/>
    </row>
    <row r="109" spans="1:21">
      <c r="B109" t="str">
        <f t="shared" si="17"/>
        <v/>
      </c>
      <c r="C109" s="155">
        <f>IF(D94="","-",+C108+1)</f>
        <v>2021</v>
      </c>
      <c r="D109" s="156">
        <f>IF(F108+SUM(E$100:E108)=D$93,F108,D$93-SUM(E$100:E108))</f>
        <v>0</v>
      </c>
      <c r="E109" s="162">
        <f>IF(+J97&lt;F108,J97,D109)</f>
        <v>0</v>
      </c>
      <c r="F109" s="161">
        <f t="shared" si="25"/>
        <v>0</v>
      </c>
      <c r="G109" s="161">
        <f t="shared" si="18"/>
        <v>0</v>
      </c>
      <c r="H109" s="165">
        <f t="shared" si="19"/>
        <v>0</v>
      </c>
      <c r="I109" s="299">
        <f t="shared" si="20"/>
        <v>0</v>
      </c>
      <c r="J109" s="160">
        <f t="shared" si="21"/>
        <v>0</v>
      </c>
      <c r="K109" s="160"/>
      <c r="L109" s="316"/>
      <c r="M109" s="160">
        <f t="shared" si="22"/>
        <v>0</v>
      </c>
      <c r="N109" s="316"/>
      <c r="O109" s="160">
        <f t="shared" si="23"/>
        <v>0</v>
      </c>
      <c r="P109" s="160">
        <f t="shared" si="24"/>
        <v>0</v>
      </c>
      <c r="Q109" s="1"/>
      <c r="R109" s="1"/>
      <c r="S109" s="1"/>
      <c r="T109" s="1"/>
      <c r="U109" s="1"/>
    </row>
    <row r="110" spans="1:21">
      <c r="B110" t="str">
        <f t="shared" si="17"/>
        <v/>
      </c>
      <c r="C110" s="155">
        <f>IF(D94="","-",+C109+1)</f>
        <v>2022</v>
      </c>
      <c r="D110" s="156">
        <f>IF(F109+SUM(E$100:E109)=D$93,F109,D$93-SUM(E$100:E109))</f>
        <v>0</v>
      </c>
      <c r="E110" s="162">
        <f>IF(+J97&lt;F109,J97,D110)</f>
        <v>0</v>
      </c>
      <c r="F110" s="161">
        <f t="shared" si="25"/>
        <v>0</v>
      </c>
      <c r="G110" s="161">
        <f t="shared" si="18"/>
        <v>0</v>
      </c>
      <c r="H110" s="165">
        <f t="shared" si="19"/>
        <v>0</v>
      </c>
      <c r="I110" s="299">
        <f t="shared" si="20"/>
        <v>0</v>
      </c>
      <c r="J110" s="160">
        <f t="shared" si="21"/>
        <v>0</v>
      </c>
      <c r="K110" s="160"/>
      <c r="L110" s="316"/>
      <c r="M110" s="160">
        <f t="shared" si="22"/>
        <v>0</v>
      </c>
      <c r="N110" s="316"/>
      <c r="O110" s="160">
        <f t="shared" si="23"/>
        <v>0</v>
      </c>
      <c r="P110" s="160">
        <f t="shared" si="24"/>
        <v>0</v>
      </c>
      <c r="Q110" s="1"/>
      <c r="R110" s="1"/>
      <c r="S110" s="1"/>
      <c r="T110" s="1"/>
      <c r="U110" s="1"/>
    </row>
    <row r="111" spans="1:21">
      <c r="B111" t="str">
        <f t="shared" si="17"/>
        <v/>
      </c>
      <c r="C111" s="155">
        <f>IF(D94="","-",+C110+1)</f>
        <v>2023</v>
      </c>
      <c r="D111" s="156">
        <f>IF(F110+SUM(E$100:E110)=D$93,F110,D$93-SUM(E$100:E110))</f>
        <v>0</v>
      </c>
      <c r="E111" s="162">
        <f>IF(+J97&lt;F110,J97,D111)</f>
        <v>0</v>
      </c>
      <c r="F111" s="161">
        <f t="shared" si="25"/>
        <v>0</v>
      </c>
      <c r="G111" s="161">
        <f t="shared" si="18"/>
        <v>0</v>
      </c>
      <c r="H111" s="165">
        <f t="shared" si="19"/>
        <v>0</v>
      </c>
      <c r="I111" s="299">
        <f t="shared" si="20"/>
        <v>0</v>
      </c>
      <c r="J111" s="160">
        <f t="shared" si="21"/>
        <v>0</v>
      </c>
      <c r="K111" s="160"/>
      <c r="L111" s="316"/>
      <c r="M111" s="160">
        <f t="shared" si="22"/>
        <v>0</v>
      </c>
      <c r="N111" s="316"/>
      <c r="O111" s="160">
        <f t="shared" si="23"/>
        <v>0</v>
      </c>
      <c r="P111" s="160">
        <f t="shared" si="24"/>
        <v>0</v>
      </c>
      <c r="Q111" s="1"/>
      <c r="R111" s="1"/>
      <c r="S111" s="1"/>
      <c r="T111" s="1"/>
      <c r="U111" s="1"/>
    </row>
    <row r="112" spans="1:21">
      <c r="B112" t="str">
        <f t="shared" si="17"/>
        <v/>
      </c>
      <c r="C112" s="155">
        <f>IF(D94="","-",+C111+1)</f>
        <v>2024</v>
      </c>
      <c r="D112" s="156">
        <f>IF(F111+SUM(E$100:E111)=D$93,F111,D$93-SUM(E$100:E111))</f>
        <v>0</v>
      </c>
      <c r="E112" s="162">
        <f>IF(+J97&lt;F111,J97,D112)</f>
        <v>0</v>
      </c>
      <c r="F112" s="161">
        <f t="shared" si="25"/>
        <v>0</v>
      </c>
      <c r="G112" s="161">
        <f t="shared" si="18"/>
        <v>0</v>
      </c>
      <c r="H112" s="165">
        <f t="shared" si="19"/>
        <v>0</v>
      </c>
      <c r="I112" s="299">
        <f t="shared" si="20"/>
        <v>0</v>
      </c>
      <c r="J112" s="160">
        <f t="shared" si="21"/>
        <v>0</v>
      </c>
      <c r="K112" s="160"/>
      <c r="L112" s="316"/>
      <c r="M112" s="160">
        <f t="shared" si="22"/>
        <v>0</v>
      </c>
      <c r="N112" s="316"/>
      <c r="O112" s="160">
        <f t="shared" si="23"/>
        <v>0</v>
      </c>
      <c r="P112" s="160">
        <f t="shared" si="24"/>
        <v>0</v>
      </c>
      <c r="Q112" s="1"/>
      <c r="R112" s="1"/>
      <c r="S112" s="1"/>
      <c r="T112" s="1"/>
      <c r="U112" s="1"/>
    </row>
    <row r="113" spans="2:21">
      <c r="B113" t="str">
        <f t="shared" si="17"/>
        <v/>
      </c>
      <c r="C113" s="155">
        <f>IF(D94="","-",+C112+1)</f>
        <v>2025</v>
      </c>
      <c r="D113" s="156">
        <f>IF(F112+SUM(E$100:E112)=D$93,F112,D$93-SUM(E$100:E112))</f>
        <v>0</v>
      </c>
      <c r="E113" s="162">
        <f>IF(+J97&lt;F112,J97,D113)</f>
        <v>0</v>
      </c>
      <c r="F113" s="161">
        <f t="shared" si="25"/>
        <v>0</v>
      </c>
      <c r="G113" s="161">
        <f t="shared" si="18"/>
        <v>0</v>
      </c>
      <c r="H113" s="165">
        <f t="shared" si="19"/>
        <v>0</v>
      </c>
      <c r="I113" s="299">
        <f t="shared" si="20"/>
        <v>0</v>
      </c>
      <c r="J113" s="160">
        <f t="shared" si="21"/>
        <v>0</v>
      </c>
      <c r="K113" s="160"/>
      <c r="L113" s="316"/>
      <c r="M113" s="160">
        <f t="shared" si="22"/>
        <v>0</v>
      </c>
      <c r="N113" s="316"/>
      <c r="O113" s="160">
        <f t="shared" si="23"/>
        <v>0</v>
      </c>
      <c r="P113" s="160">
        <f t="shared" si="24"/>
        <v>0</v>
      </c>
      <c r="Q113" s="1"/>
      <c r="R113" s="1"/>
      <c r="S113" s="1"/>
      <c r="T113" s="1"/>
      <c r="U113" s="1"/>
    </row>
    <row r="114" spans="2:21">
      <c r="B114" t="str">
        <f t="shared" si="17"/>
        <v/>
      </c>
      <c r="C114" s="155">
        <f>IF(D94="","-",+C113+1)</f>
        <v>2026</v>
      </c>
      <c r="D114" s="156">
        <f>IF(F113+SUM(E$100:E113)=D$93,F113,D$93-SUM(E$100:E113))</f>
        <v>0</v>
      </c>
      <c r="E114" s="162">
        <f>IF(+J97&lt;F113,J97,D114)</f>
        <v>0</v>
      </c>
      <c r="F114" s="161">
        <f t="shared" si="25"/>
        <v>0</v>
      </c>
      <c r="G114" s="161">
        <f t="shared" si="18"/>
        <v>0</v>
      </c>
      <c r="H114" s="165">
        <f t="shared" si="19"/>
        <v>0</v>
      </c>
      <c r="I114" s="299">
        <f t="shared" si="20"/>
        <v>0</v>
      </c>
      <c r="J114" s="160">
        <f t="shared" si="21"/>
        <v>0</v>
      </c>
      <c r="K114" s="160"/>
      <c r="L114" s="316"/>
      <c r="M114" s="160">
        <f t="shared" si="22"/>
        <v>0</v>
      </c>
      <c r="N114" s="316"/>
      <c r="O114" s="160">
        <f t="shared" si="23"/>
        <v>0</v>
      </c>
      <c r="P114" s="160">
        <f t="shared" si="24"/>
        <v>0</v>
      </c>
      <c r="Q114" s="1"/>
      <c r="R114" s="1"/>
      <c r="S114" s="1"/>
      <c r="T114" s="1"/>
      <c r="U114" s="1"/>
    </row>
    <row r="115" spans="2:21">
      <c r="B115" t="str">
        <f t="shared" si="17"/>
        <v/>
      </c>
      <c r="C115" s="155">
        <f>IF(D94="","-",+C114+1)</f>
        <v>2027</v>
      </c>
      <c r="D115" s="156">
        <f>IF(F114+SUM(E$100:E114)=D$93,F114,D$93-SUM(E$100:E114))</f>
        <v>0</v>
      </c>
      <c r="E115" s="162">
        <f>IF(+J97&lt;F114,J97,D115)</f>
        <v>0</v>
      </c>
      <c r="F115" s="161">
        <f t="shared" si="25"/>
        <v>0</v>
      </c>
      <c r="G115" s="161">
        <f t="shared" si="18"/>
        <v>0</v>
      </c>
      <c r="H115" s="165">
        <f t="shared" si="19"/>
        <v>0</v>
      </c>
      <c r="I115" s="299">
        <f t="shared" si="20"/>
        <v>0</v>
      </c>
      <c r="J115" s="160">
        <f t="shared" si="21"/>
        <v>0</v>
      </c>
      <c r="K115" s="160"/>
      <c r="L115" s="316"/>
      <c r="M115" s="160">
        <f t="shared" si="22"/>
        <v>0</v>
      </c>
      <c r="N115" s="316"/>
      <c r="O115" s="160">
        <f t="shared" si="23"/>
        <v>0</v>
      </c>
      <c r="P115" s="160">
        <f t="shared" si="24"/>
        <v>0</v>
      </c>
      <c r="Q115" s="1"/>
      <c r="R115" s="1"/>
      <c r="S115" s="1"/>
      <c r="T115" s="1"/>
      <c r="U115" s="1"/>
    </row>
    <row r="116" spans="2:21">
      <c r="B116" t="str">
        <f t="shared" si="17"/>
        <v/>
      </c>
      <c r="C116" s="155">
        <f>IF(D94="","-",+C115+1)</f>
        <v>2028</v>
      </c>
      <c r="D116" s="156">
        <f>IF(F115+SUM(E$100:E115)=D$93,F115,D$93-SUM(E$100:E115))</f>
        <v>0</v>
      </c>
      <c r="E116" s="162">
        <f>IF(+J97&lt;F115,J97,D116)</f>
        <v>0</v>
      </c>
      <c r="F116" s="161">
        <f t="shared" si="25"/>
        <v>0</v>
      </c>
      <c r="G116" s="161">
        <f t="shared" si="18"/>
        <v>0</v>
      </c>
      <c r="H116" s="165">
        <f t="shared" si="19"/>
        <v>0</v>
      </c>
      <c r="I116" s="299">
        <f t="shared" si="20"/>
        <v>0</v>
      </c>
      <c r="J116" s="160">
        <f t="shared" si="21"/>
        <v>0</v>
      </c>
      <c r="K116" s="160"/>
      <c r="L116" s="316"/>
      <c r="M116" s="160">
        <f t="shared" si="22"/>
        <v>0</v>
      </c>
      <c r="N116" s="316"/>
      <c r="O116" s="160">
        <f t="shared" si="23"/>
        <v>0</v>
      </c>
      <c r="P116" s="160">
        <f t="shared" si="24"/>
        <v>0</v>
      </c>
      <c r="Q116" s="1"/>
      <c r="R116" s="1"/>
      <c r="S116" s="1"/>
      <c r="T116" s="1"/>
      <c r="U116" s="1"/>
    </row>
    <row r="117" spans="2:21">
      <c r="B117" t="str">
        <f t="shared" si="17"/>
        <v/>
      </c>
      <c r="C117" s="155">
        <f>IF(D94="","-",+C116+1)</f>
        <v>2029</v>
      </c>
      <c r="D117" s="156">
        <f>IF(F116+SUM(E$100:E116)=D$93,F116,D$93-SUM(E$100:E116))</f>
        <v>0</v>
      </c>
      <c r="E117" s="162">
        <f>IF(+J97&lt;F116,J97,D117)</f>
        <v>0</v>
      </c>
      <c r="F117" s="161">
        <f t="shared" si="25"/>
        <v>0</v>
      </c>
      <c r="G117" s="161">
        <f t="shared" si="18"/>
        <v>0</v>
      </c>
      <c r="H117" s="165">
        <f t="shared" si="19"/>
        <v>0</v>
      </c>
      <c r="I117" s="299">
        <f t="shared" si="20"/>
        <v>0</v>
      </c>
      <c r="J117" s="160">
        <f t="shared" si="21"/>
        <v>0</v>
      </c>
      <c r="K117" s="160"/>
      <c r="L117" s="316"/>
      <c r="M117" s="160">
        <f t="shared" si="22"/>
        <v>0</v>
      </c>
      <c r="N117" s="316"/>
      <c r="O117" s="160">
        <f t="shared" si="23"/>
        <v>0</v>
      </c>
      <c r="P117" s="160">
        <f t="shared" si="24"/>
        <v>0</v>
      </c>
      <c r="Q117" s="1"/>
      <c r="R117" s="1"/>
      <c r="S117" s="1"/>
      <c r="T117" s="1"/>
      <c r="U117" s="1"/>
    </row>
    <row r="118" spans="2:21">
      <c r="B118" t="str">
        <f t="shared" si="17"/>
        <v/>
      </c>
      <c r="C118" s="155">
        <f>IF(D94="","-",+C117+1)</f>
        <v>2030</v>
      </c>
      <c r="D118" s="156">
        <f>IF(F117+SUM(E$100:E117)=D$93,F117,D$93-SUM(E$100:E117))</f>
        <v>0</v>
      </c>
      <c r="E118" s="162">
        <f>IF(+J97&lt;F117,J97,D118)</f>
        <v>0</v>
      </c>
      <c r="F118" s="161">
        <f t="shared" si="25"/>
        <v>0</v>
      </c>
      <c r="G118" s="161">
        <f t="shared" si="18"/>
        <v>0</v>
      </c>
      <c r="H118" s="165">
        <f t="shared" si="19"/>
        <v>0</v>
      </c>
      <c r="I118" s="299">
        <f t="shared" si="20"/>
        <v>0</v>
      </c>
      <c r="J118" s="160">
        <f t="shared" si="21"/>
        <v>0</v>
      </c>
      <c r="K118" s="160"/>
      <c r="L118" s="316"/>
      <c r="M118" s="160">
        <f t="shared" si="22"/>
        <v>0</v>
      </c>
      <c r="N118" s="316"/>
      <c r="O118" s="160">
        <f t="shared" si="23"/>
        <v>0</v>
      </c>
      <c r="P118" s="160">
        <f t="shared" si="24"/>
        <v>0</v>
      </c>
      <c r="Q118" s="1"/>
      <c r="R118" s="1"/>
      <c r="S118" s="1"/>
      <c r="T118" s="1"/>
      <c r="U118" s="1"/>
    </row>
    <row r="119" spans="2:21">
      <c r="B119" t="str">
        <f t="shared" si="17"/>
        <v/>
      </c>
      <c r="C119" s="155">
        <f>IF(D94="","-",+C118+1)</f>
        <v>2031</v>
      </c>
      <c r="D119" s="156">
        <f>IF(F118+SUM(E$100:E118)=D$93,F118,D$93-SUM(E$100:E118))</f>
        <v>0</v>
      </c>
      <c r="E119" s="162">
        <f>IF(+J97&lt;F118,J97,D119)</f>
        <v>0</v>
      </c>
      <c r="F119" s="161">
        <f t="shared" si="25"/>
        <v>0</v>
      </c>
      <c r="G119" s="161">
        <f t="shared" si="18"/>
        <v>0</v>
      </c>
      <c r="H119" s="165">
        <f t="shared" si="19"/>
        <v>0</v>
      </c>
      <c r="I119" s="299">
        <f t="shared" si="20"/>
        <v>0</v>
      </c>
      <c r="J119" s="160">
        <f t="shared" si="21"/>
        <v>0</v>
      </c>
      <c r="K119" s="160"/>
      <c r="L119" s="316"/>
      <c r="M119" s="160">
        <f t="shared" si="22"/>
        <v>0</v>
      </c>
      <c r="N119" s="316"/>
      <c r="O119" s="160">
        <f t="shared" si="23"/>
        <v>0</v>
      </c>
      <c r="P119" s="160">
        <f t="shared" si="24"/>
        <v>0</v>
      </c>
      <c r="Q119" s="1"/>
      <c r="R119" s="1"/>
      <c r="S119" s="1"/>
      <c r="T119" s="1"/>
      <c r="U119" s="1"/>
    </row>
    <row r="120" spans="2:21">
      <c r="B120" t="str">
        <f t="shared" si="17"/>
        <v/>
      </c>
      <c r="C120" s="155">
        <f>IF(D94="","-",+C119+1)</f>
        <v>2032</v>
      </c>
      <c r="D120" s="156">
        <f>IF(F119+SUM(E$100:E119)=D$93,F119,D$93-SUM(E$100:E119))</f>
        <v>0</v>
      </c>
      <c r="E120" s="162">
        <f>IF(+J97&lt;F119,J97,D120)</f>
        <v>0</v>
      </c>
      <c r="F120" s="161">
        <f t="shared" si="25"/>
        <v>0</v>
      </c>
      <c r="G120" s="161">
        <f t="shared" si="18"/>
        <v>0</v>
      </c>
      <c r="H120" s="165">
        <f t="shared" si="19"/>
        <v>0</v>
      </c>
      <c r="I120" s="299">
        <f t="shared" si="20"/>
        <v>0</v>
      </c>
      <c r="J120" s="160">
        <f t="shared" si="21"/>
        <v>0</v>
      </c>
      <c r="K120" s="160"/>
      <c r="L120" s="316"/>
      <c r="M120" s="160">
        <f t="shared" si="22"/>
        <v>0</v>
      </c>
      <c r="N120" s="316"/>
      <c r="O120" s="160">
        <f t="shared" si="23"/>
        <v>0</v>
      </c>
      <c r="P120" s="160">
        <f t="shared" si="24"/>
        <v>0</v>
      </c>
      <c r="Q120" s="1"/>
      <c r="R120" s="1"/>
      <c r="S120" s="1"/>
      <c r="T120" s="1"/>
      <c r="U120" s="1"/>
    </row>
    <row r="121" spans="2:21">
      <c r="B121" t="str">
        <f t="shared" si="17"/>
        <v/>
      </c>
      <c r="C121" s="155">
        <f>IF(D94="","-",+C120+1)</f>
        <v>2033</v>
      </c>
      <c r="D121" s="156">
        <f>IF(F120+SUM(E$100:E120)=D$93,F120,D$93-SUM(E$100:E120))</f>
        <v>0</v>
      </c>
      <c r="E121" s="162">
        <f>IF(+J97&lt;F120,J97,D121)</f>
        <v>0</v>
      </c>
      <c r="F121" s="161">
        <f t="shared" si="25"/>
        <v>0</v>
      </c>
      <c r="G121" s="161">
        <f t="shared" si="18"/>
        <v>0</v>
      </c>
      <c r="H121" s="165">
        <f t="shared" si="19"/>
        <v>0</v>
      </c>
      <c r="I121" s="299">
        <f t="shared" si="20"/>
        <v>0</v>
      </c>
      <c r="J121" s="160">
        <f t="shared" si="21"/>
        <v>0</v>
      </c>
      <c r="K121" s="160"/>
      <c r="L121" s="316"/>
      <c r="M121" s="160">
        <f t="shared" si="22"/>
        <v>0</v>
      </c>
      <c r="N121" s="316"/>
      <c r="O121" s="160">
        <f t="shared" si="23"/>
        <v>0</v>
      </c>
      <c r="P121" s="160">
        <f t="shared" si="24"/>
        <v>0</v>
      </c>
      <c r="Q121" s="1"/>
      <c r="R121" s="1"/>
      <c r="S121" s="1"/>
      <c r="T121" s="1"/>
      <c r="U121" s="1"/>
    </row>
    <row r="122" spans="2:21">
      <c r="B122" t="str">
        <f t="shared" si="17"/>
        <v/>
      </c>
      <c r="C122" s="155">
        <f>IF(D94="","-",+C121+1)</f>
        <v>2034</v>
      </c>
      <c r="D122" s="156">
        <f>IF(F121+SUM(E$100:E121)=D$93,F121,D$93-SUM(E$100:E121))</f>
        <v>0</v>
      </c>
      <c r="E122" s="162">
        <f>IF(+J97&lt;F121,J97,D122)</f>
        <v>0</v>
      </c>
      <c r="F122" s="161">
        <f t="shared" si="25"/>
        <v>0</v>
      </c>
      <c r="G122" s="161">
        <f t="shared" si="18"/>
        <v>0</v>
      </c>
      <c r="H122" s="165">
        <f t="shared" si="19"/>
        <v>0</v>
      </c>
      <c r="I122" s="299">
        <f t="shared" si="20"/>
        <v>0</v>
      </c>
      <c r="J122" s="160">
        <f t="shared" si="21"/>
        <v>0</v>
      </c>
      <c r="K122" s="160"/>
      <c r="L122" s="316"/>
      <c r="M122" s="160">
        <f t="shared" si="22"/>
        <v>0</v>
      </c>
      <c r="N122" s="316"/>
      <c r="O122" s="160">
        <f t="shared" si="23"/>
        <v>0</v>
      </c>
      <c r="P122" s="160">
        <f t="shared" si="24"/>
        <v>0</v>
      </c>
      <c r="Q122" s="1"/>
      <c r="R122" s="1"/>
      <c r="S122" s="1"/>
      <c r="T122" s="1"/>
      <c r="U122" s="1"/>
    </row>
    <row r="123" spans="2:21">
      <c r="B123" t="str">
        <f t="shared" si="17"/>
        <v/>
      </c>
      <c r="C123" s="155">
        <f>IF(D94="","-",+C122+1)</f>
        <v>2035</v>
      </c>
      <c r="D123" s="156">
        <f>IF(F122+SUM(E$100:E122)=D$93,F122,D$93-SUM(E$100:E122))</f>
        <v>0</v>
      </c>
      <c r="E123" s="162">
        <f>IF(+J97&lt;F122,J97,D123)</f>
        <v>0</v>
      </c>
      <c r="F123" s="161">
        <f t="shared" si="25"/>
        <v>0</v>
      </c>
      <c r="G123" s="161">
        <f t="shared" si="18"/>
        <v>0</v>
      </c>
      <c r="H123" s="165">
        <f t="shared" si="19"/>
        <v>0</v>
      </c>
      <c r="I123" s="299">
        <f t="shared" si="20"/>
        <v>0</v>
      </c>
      <c r="J123" s="160">
        <f t="shared" si="21"/>
        <v>0</v>
      </c>
      <c r="K123" s="160"/>
      <c r="L123" s="316"/>
      <c r="M123" s="160">
        <f t="shared" si="22"/>
        <v>0</v>
      </c>
      <c r="N123" s="316"/>
      <c r="O123" s="160">
        <f t="shared" si="23"/>
        <v>0</v>
      </c>
      <c r="P123" s="160">
        <f t="shared" si="24"/>
        <v>0</v>
      </c>
      <c r="Q123" s="1"/>
      <c r="R123" s="1"/>
      <c r="S123" s="1"/>
      <c r="T123" s="1"/>
      <c r="U123" s="1"/>
    </row>
    <row r="124" spans="2:21">
      <c r="B124" t="str">
        <f t="shared" si="17"/>
        <v/>
      </c>
      <c r="C124" s="155">
        <f>IF(D94="","-",+C123+1)</f>
        <v>2036</v>
      </c>
      <c r="D124" s="156">
        <f>IF(F123+SUM(E$100:E123)=D$93,F123,D$93-SUM(E$100:E123))</f>
        <v>0</v>
      </c>
      <c r="E124" s="162">
        <f>IF(+J97&lt;F123,J97,D124)</f>
        <v>0</v>
      </c>
      <c r="F124" s="161">
        <f t="shared" si="25"/>
        <v>0</v>
      </c>
      <c r="G124" s="161">
        <f t="shared" si="18"/>
        <v>0</v>
      </c>
      <c r="H124" s="165">
        <f t="shared" si="19"/>
        <v>0</v>
      </c>
      <c r="I124" s="299">
        <f t="shared" si="20"/>
        <v>0</v>
      </c>
      <c r="J124" s="160">
        <f t="shared" si="21"/>
        <v>0</v>
      </c>
      <c r="K124" s="160"/>
      <c r="L124" s="316"/>
      <c r="M124" s="160">
        <f t="shared" si="22"/>
        <v>0</v>
      </c>
      <c r="N124" s="316"/>
      <c r="O124" s="160">
        <f t="shared" si="23"/>
        <v>0</v>
      </c>
      <c r="P124" s="160">
        <f t="shared" si="24"/>
        <v>0</v>
      </c>
      <c r="Q124" s="1"/>
      <c r="R124" s="1"/>
      <c r="S124" s="1"/>
      <c r="T124" s="1"/>
      <c r="U124" s="1"/>
    </row>
    <row r="125" spans="2:21">
      <c r="B125" t="str">
        <f t="shared" si="17"/>
        <v/>
      </c>
      <c r="C125" s="155">
        <f>IF(D94="","-",+C124+1)</f>
        <v>2037</v>
      </c>
      <c r="D125" s="156">
        <f>IF(F124+SUM(E$100:E124)=D$93,F124,D$93-SUM(E$100:E124))</f>
        <v>0</v>
      </c>
      <c r="E125" s="162">
        <f>IF(+J97&lt;F124,J97,D125)</f>
        <v>0</v>
      </c>
      <c r="F125" s="161">
        <f t="shared" si="25"/>
        <v>0</v>
      </c>
      <c r="G125" s="161">
        <f t="shared" si="18"/>
        <v>0</v>
      </c>
      <c r="H125" s="165">
        <f t="shared" si="19"/>
        <v>0</v>
      </c>
      <c r="I125" s="299">
        <f t="shared" si="20"/>
        <v>0</v>
      </c>
      <c r="J125" s="160">
        <f t="shared" si="21"/>
        <v>0</v>
      </c>
      <c r="K125" s="160"/>
      <c r="L125" s="316"/>
      <c r="M125" s="160">
        <f t="shared" si="22"/>
        <v>0</v>
      </c>
      <c r="N125" s="316"/>
      <c r="O125" s="160">
        <f t="shared" si="23"/>
        <v>0</v>
      </c>
      <c r="P125" s="160">
        <f t="shared" si="24"/>
        <v>0</v>
      </c>
      <c r="Q125" s="1"/>
      <c r="R125" s="1"/>
      <c r="S125" s="1"/>
      <c r="T125" s="1"/>
      <c r="U125" s="1"/>
    </row>
    <row r="126" spans="2:21">
      <c r="B126" t="str">
        <f t="shared" si="17"/>
        <v/>
      </c>
      <c r="C126" s="155">
        <f>IF(D94="","-",+C125+1)</f>
        <v>2038</v>
      </c>
      <c r="D126" s="156">
        <f>IF(F125+SUM(E$100:E125)=D$93,F125,D$93-SUM(E$100:E125))</f>
        <v>0</v>
      </c>
      <c r="E126" s="162">
        <f>IF(+J97&lt;F125,J97,D126)</f>
        <v>0</v>
      </c>
      <c r="F126" s="161">
        <f t="shared" si="25"/>
        <v>0</v>
      </c>
      <c r="G126" s="161">
        <f t="shared" si="18"/>
        <v>0</v>
      </c>
      <c r="H126" s="165">
        <f t="shared" si="19"/>
        <v>0</v>
      </c>
      <c r="I126" s="299">
        <f t="shared" si="20"/>
        <v>0</v>
      </c>
      <c r="J126" s="160">
        <f t="shared" si="21"/>
        <v>0</v>
      </c>
      <c r="K126" s="160"/>
      <c r="L126" s="316"/>
      <c r="M126" s="160">
        <f t="shared" si="22"/>
        <v>0</v>
      </c>
      <c r="N126" s="316"/>
      <c r="O126" s="160">
        <f t="shared" si="23"/>
        <v>0</v>
      </c>
      <c r="P126" s="160">
        <f t="shared" si="24"/>
        <v>0</v>
      </c>
      <c r="Q126" s="1"/>
      <c r="R126" s="1"/>
      <c r="S126" s="1"/>
      <c r="T126" s="1"/>
      <c r="U126" s="1"/>
    </row>
    <row r="127" spans="2:21">
      <c r="B127" t="str">
        <f t="shared" si="17"/>
        <v/>
      </c>
      <c r="C127" s="155">
        <f>IF(D94="","-",+C126+1)</f>
        <v>2039</v>
      </c>
      <c r="D127" s="156">
        <f>IF(F126+SUM(E$100:E126)=D$93,F126,D$93-SUM(E$100:E126))</f>
        <v>0</v>
      </c>
      <c r="E127" s="162">
        <f>IF(+J97&lt;F126,J97,D127)</f>
        <v>0</v>
      </c>
      <c r="F127" s="161">
        <f t="shared" si="25"/>
        <v>0</v>
      </c>
      <c r="G127" s="161">
        <f t="shared" si="18"/>
        <v>0</v>
      </c>
      <c r="H127" s="165">
        <f t="shared" si="19"/>
        <v>0</v>
      </c>
      <c r="I127" s="299">
        <f t="shared" si="20"/>
        <v>0</v>
      </c>
      <c r="J127" s="160">
        <f t="shared" si="21"/>
        <v>0</v>
      </c>
      <c r="K127" s="160"/>
      <c r="L127" s="316"/>
      <c r="M127" s="160">
        <f t="shared" si="22"/>
        <v>0</v>
      </c>
      <c r="N127" s="316"/>
      <c r="O127" s="160">
        <f t="shared" si="23"/>
        <v>0</v>
      </c>
      <c r="P127" s="160">
        <f t="shared" si="24"/>
        <v>0</v>
      </c>
      <c r="Q127" s="1"/>
      <c r="R127" s="1"/>
      <c r="S127" s="1"/>
      <c r="T127" s="1"/>
      <c r="U127" s="1"/>
    </row>
    <row r="128" spans="2:21">
      <c r="B128" t="str">
        <f t="shared" si="17"/>
        <v/>
      </c>
      <c r="C128" s="155">
        <f>IF(D94="","-",+C127+1)</f>
        <v>2040</v>
      </c>
      <c r="D128" s="156">
        <f>IF(F127+SUM(E$100:E127)=D$93,F127,D$93-SUM(E$100:E127))</f>
        <v>0</v>
      </c>
      <c r="E128" s="162">
        <f>IF(+J97&lt;F127,J97,D128)</f>
        <v>0</v>
      </c>
      <c r="F128" s="161">
        <f t="shared" si="25"/>
        <v>0</v>
      </c>
      <c r="G128" s="161">
        <f t="shared" si="18"/>
        <v>0</v>
      </c>
      <c r="H128" s="165">
        <f t="shared" si="19"/>
        <v>0</v>
      </c>
      <c r="I128" s="299">
        <f t="shared" si="20"/>
        <v>0</v>
      </c>
      <c r="J128" s="160">
        <f t="shared" si="21"/>
        <v>0</v>
      </c>
      <c r="K128" s="160"/>
      <c r="L128" s="316"/>
      <c r="M128" s="160">
        <f t="shared" si="22"/>
        <v>0</v>
      </c>
      <c r="N128" s="316"/>
      <c r="O128" s="160">
        <f t="shared" si="23"/>
        <v>0</v>
      </c>
      <c r="P128" s="160">
        <f t="shared" si="24"/>
        <v>0</v>
      </c>
      <c r="Q128" s="1"/>
      <c r="R128" s="1"/>
      <c r="S128" s="1"/>
      <c r="T128" s="1"/>
      <c r="U128" s="1"/>
    </row>
    <row r="129" spans="2:21">
      <c r="B129" t="str">
        <f t="shared" si="17"/>
        <v/>
      </c>
      <c r="C129" s="155">
        <f>IF(D94="","-",+C128+1)</f>
        <v>2041</v>
      </c>
      <c r="D129" s="156">
        <f>IF(F128+SUM(E$100:E128)=D$93,F128,D$93-SUM(E$100:E128))</f>
        <v>0</v>
      </c>
      <c r="E129" s="162">
        <f>IF(+J97&lt;F128,J97,D129)</f>
        <v>0</v>
      </c>
      <c r="F129" s="161">
        <f t="shared" si="25"/>
        <v>0</v>
      </c>
      <c r="G129" s="161">
        <f t="shared" si="18"/>
        <v>0</v>
      </c>
      <c r="H129" s="165">
        <f t="shared" si="19"/>
        <v>0</v>
      </c>
      <c r="I129" s="299">
        <f t="shared" si="20"/>
        <v>0</v>
      </c>
      <c r="J129" s="160">
        <f t="shared" si="21"/>
        <v>0</v>
      </c>
      <c r="K129" s="160"/>
      <c r="L129" s="316"/>
      <c r="M129" s="160">
        <f t="shared" si="22"/>
        <v>0</v>
      </c>
      <c r="N129" s="316"/>
      <c r="O129" s="160">
        <f t="shared" si="23"/>
        <v>0</v>
      </c>
      <c r="P129" s="160">
        <f t="shared" si="24"/>
        <v>0</v>
      </c>
      <c r="Q129" s="1"/>
      <c r="R129" s="1"/>
      <c r="S129" s="1"/>
      <c r="T129" s="1"/>
      <c r="U129" s="1"/>
    </row>
    <row r="130" spans="2:21">
      <c r="B130" t="str">
        <f t="shared" si="17"/>
        <v/>
      </c>
      <c r="C130" s="155">
        <f>IF(D94="","-",+C129+1)</f>
        <v>2042</v>
      </c>
      <c r="D130" s="156">
        <f>IF(F129+SUM(E$100:E129)=D$93,F129,D$93-SUM(E$100:E129))</f>
        <v>0</v>
      </c>
      <c r="E130" s="162">
        <f>IF(+J97&lt;F129,J97,D130)</f>
        <v>0</v>
      </c>
      <c r="F130" s="161">
        <f t="shared" si="25"/>
        <v>0</v>
      </c>
      <c r="G130" s="161">
        <f t="shared" si="18"/>
        <v>0</v>
      </c>
      <c r="H130" s="165">
        <f t="shared" si="19"/>
        <v>0</v>
      </c>
      <c r="I130" s="299">
        <f t="shared" si="20"/>
        <v>0</v>
      </c>
      <c r="J130" s="160">
        <f t="shared" si="21"/>
        <v>0</v>
      </c>
      <c r="K130" s="160"/>
      <c r="L130" s="316"/>
      <c r="M130" s="160">
        <f t="shared" si="22"/>
        <v>0</v>
      </c>
      <c r="N130" s="316"/>
      <c r="O130" s="160">
        <f t="shared" si="23"/>
        <v>0</v>
      </c>
      <c r="P130" s="160">
        <f t="shared" si="24"/>
        <v>0</v>
      </c>
      <c r="Q130" s="1"/>
      <c r="R130" s="1"/>
      <c r="S130" s="1"/>
      <c r="T130" s="1"/>
      <c r="U130" s="1"/>
    </row>
    <row r="131" spans="2:21">
      <c r="B131" t="str">
        <f t="shared" si="17"/>
        <v/>
      </c>
      <c r="C131" s="155">
        <f>IF(D94="","-",+C130+1)</f>
        <v>2043</v>
      </c>
      <c r="D131" s="156">
        <f>IF(F130+SUM(E$100:E130)=D$93,F130,D$93-SUM(E$100:E130))</f>
        <v>0</v>
      </c>
      <c r="E131" s="162">
        <f>IF(+J97&lt;F130,J97,D131)</f>
        <v>0</v>
      </c>
      <c r="F131" s="161">
        <f t="shared" si="25"/>
        <v>0</v>
      </c>
      <c r="G131" s="161">
        <f t="shared" si="18"/>
        <v>0</v>
      </c>
      <c r="H131" s="165">
        <f t="shared" si="19"/>
        <v>0</v>
      </c>
      <c r="I131" s="299">
        <f t="shared" si="20"/>
        <v>0</v>
      </c>
      <c r="J131" s="160">
        <f t="shared" si="21"/>
        <v>0</v>
      </c>
      <c r="K131" s="160"/>
      <c r="L131" s="316"/>
      <c r="M131" s="160">
        <f t="shared" si="22"/>
        <v>0</v>
      </c>
      <c r="N131" s="316"/>
      <c r="O131" s="160">
        <f t="shared" si="23"/>
        <v>0</v>
      </c>
      <c r="P131" s="160">
        <f t="shared" si="24"/>
        <v>0</v>
      </c>
      <c r="Q131" s="1"/>
      <c r="R131" s="1"/>
      <c r="S131" s="1"/>
      <c r="T131" s="1"/>
      <c r="U131" s="1"/>
    </row>
    <row r="132" spans="2:21">
      <c r="B132" t="str">
        <f t="shared" ref="B132:B155" si="26">IF(D132=F131,"","IU")</f>
        <v/>
      </c>
      <c r="C132" s="155">
        <f>IF(D94="","-",+C131+1)</f>
        <v>2044</v>
      </c>
      <c r="D132" s="156">
        <f>IF(F131+SUM(E$100:E131)=D$93,F131,D$93-SUM(E$100:E131))</f>
        <v>0</v>
      </c>
      <c r="E132" s="162">
        <f>IF(+J97&lt;F131,J97,D132)</f>
        <v>0</v>
      </c>
      <c r="F132" s="161">
        <f t="shared" si="25"/>
        <v>0</v>
      </c>
      <c r="G132" s="161">
        <f t="shared" ref="G132:G155" si="27">+(F132+D132)/2</f>
        <v>0</v>
      </c>
      <c r="H132" s="165">
        <f t="shared" ref="H132:H155" si="28">+J$95*G132+E132</f>
        <v>0</v>
      </c>
      <c r="I132" s="299">
        <f t="shared" ref="I132:I155" si="29">+J$96*G132+E132</f>
        <v>0</v>
      </c>
      <c r="J132" s="160">
        <f t="shared" ref="J132:J155" si="30">+I132-H132</f>
        <v>0</v>
      </c>
      <c r="K132" s="160"/>
      <c r="L132" s="316"/>
      <c r="M132" s="160">
        <f t="shared" ref="M132:M155" si="31">IF(L132&lt;&gt;0,+H132-L132,0)</f>
        <v>0</v>
      </c>
      <c r="N132" s="316"/>
      <c r="O132" s="160">
        <f t="shared" ref="O132:O155" si="32">IF(N132&lt;&gt;0,+I132-N132,0)</f>
        <v>0</v>
      </c>
      <c r="P132" s="160">
        <f t="shared" ref="P132:P155" si="33">+O132-M132</f>
        <v>0</v>
      </c>
      <c r="Q132" s="1"/>
      <c r="R132" s="1"/>
      <c r="S132" s="1"/>
      <c r="T132" s="1"/>
      <c r="U132" s="1"/>
    </row>
    <row r="133" spans="2:21">
      <c r="B133" t="str">
        <f t="shared" si="26"/>
        <v/>
      </c>
      <c r="C133" s="155">
        <f>IF(D94="","-",+C132+1)</f>
        <v>2045</v>
      </c>
      <c r="D133" s="156">
        <f>IF(F132+SUM(E$100:E132)=D$93,F132,D$93-SUM(E$100:E132))</f>
        <v>0</v>
      </c>
      <c r="E133" s="162">
        <f>IF(+J97&lt;F132,J97,D133)</f>
        <v>0</v>
      </c>
      <c r="F133" s="161">
        <f t="shared" ref="F133:F155" si="34">+D133-E133</f>
        <v>0</v>
      </c>
      <c r="G133" s="161">
        <f t="shared" si="27"/>
        <v>0</v>
      </c>
      <c r="H133" s="165">
        <f t="shared" si="28"/>
        <v>0</v>
      </c>
      <c r="I133" s="299">
        <f t="shared" si="29"/>
        <v>0</v>
      </c>
      <c r="J133" s="160">
        <f t="shared" si="30"/>
        <v>0</v>
      </c>
      <c r="K133" s="160"/>
      <c r="L133" s="316"/>
      <c r="M133" s="160">
        <f t="shared" si="31"/>
        <v>0</v>
      </c>
      <c r="N133" s="316"/>
      <c r="O133" s="160">
        <f t="shared" si="32"/>
        <v>0</v>
      </c>
      <c r="P133" s="160">
        <f t="shared" si="33"/>
        <v>0</v>
      </c>
      <c r="Q133" s="1"/>
      <c r="R133" s="1"/>
      <c r="S133" s="1"/>
      <c r="T133" s="1"/>
      <c r="U133" s="1"/>
    </row>
    <row r="134" spans="2:21">
      <c r="B134" t="str">
        <f t="shared" si="26"/>
        <v/>
      </c>
      <c r="C134" s="155">
        <f>IF(D94="","-",+C133+1)</f>
        <v>2046</v>
      </c>
      <c r="D134" s="156">
        <f>IF(F133+SUM(E$100:E133)=D$93,F133,D$93-SUM(E$100:E133))</f>
        <v>0</v>
      </c>
      <c r="E134" s="162">
        <f>IF(+J97&lt;F133,J97,D134)</f>
        <v>0</v>
      </c>
      <c r="F134" s="161">
        <f t="shared" si="34"/>
        <v>0</v>
      </c>
      <c r="G134" s="161">
        <f t="shared" si="27"/>
        <v>0</v>
      </c>
      <c r="H134" s="165">
        <f t="shared" si="28"/>
        <v>0</v>
      </c>
      <c r="I134" s="299">
        <f t="shared" si="29"/>
        <v>0</v>
      </c>
      <c r="J134" s="160">
        <f t="shared" si="30"/>
        <v>0</v>
      </c>
      <c r="K134" s="160"/>
      <c r="L134" s="316"/>
      <c r="M134" s="160">
        <f t="shared" si="31"/>
        <v>0</v>
      </c>
      <c r="N134" s="316"/>
      <c r="O134" s="160">
        <f t="shared" si="32"/>
        <v>0</v>
      </c>
      <c r="P134" s="160">
        <f t="shared" si="33"/>
        <v>0</v>
      </c>
      <c r="Q134" s="1"/>
      <c r="R134" s="1"/>
      <c r="S134" s="1"/>
      <c r="T134" s="1"/>
      <c r="U134" s="1"/>
    </row>
    <row r="135" spans="2:21">
      <c r="B135" t="str">
        <f t="shared" si="26"/>
        <v/>
      </c>
      <c r="C135" s="155">
        <f>IF(D94="","-",+C134+1)</f>
        <v>2047</v>
      </c>
      <c r="D135" s="156">
        <f>IF(F134+SUM(E$100:E134)=D$93,F134,D$93-SUM(E$100:E134))</f>
        <v>0</v>
      </c>
      <c r="E135" s="162">
        <f>IF(+J97&lt;F134,J97,D135)</f>
        <v>0</v>
      </c>
      <c r="F135" s="161">
        <f t="shared" si="34"/>
        <v>0</v>
      </c>
      <c r="G135" s="161">
        <f t="shared" si="27"/>
        <v>0</v>
      </c>
      <c r="H135" s="165">
        <f t="shared" si="28"/>
        <v>0</v>
      </c>
      <c r="I135" s="299">
        <f t="shared" si="29"/>
        <v>0</v>
      </c>
      <c r="J135" s="160">
        <f t="shared" si="30"/>
        <v>0</v>
      </c>
      <c r="K135" s="160"/>
      <c r="L135" s="316"/>
      <c r="M135" s="160">
        <f t="shared" si="31"/>
        <v>0</v>
      </c>
      <c r="N135" s="316"/>
      <c r="O135" s="160">
        <f t="shared" si="32"/>
        <v>0</v>
      </c>
      <c r="P135" s="160">
        <f t="shared" si="33"/>
        <v>0</v>
      </c>
      <c r="Q135" s="1"/>
      <c r="R135" s="1"/>
      <c r="S135" s="1"/>
      <c r="T135" s="1"/>
      <c r="U135" s="1"/>
    </row>
    <row r="136" spans="2:21">
      <c r="B136" t="str">
        <f t="shared" si="26"/>
        <v/>
      </c>
      <c r="C136" s="155">
        <f>IF(D94="","-",+C135+1)</f>
        <v>2048</v>
      </c>
      <c r="D136" s="156">
        <f>IF(F135+SUM(E$100:E135)=D$93,F135,D$93-SUM(E$100:E135))</f>
        <v>0</v>
      </c>
      <c r="E136" s="162">
        <f>IF(+J97&lt;F135,J97,D136)</f>
        <v>0</v>
      </c>
      <c r="F136" s="161">
        <f t="shared" si="34"/>
        <v>0</v>
      </c>
      <c r="G136" s="161">
        <f t="shared" si="27"/>
        <v>0</v>
      </c>
      <c r="H136" s="165">
        <f t="shared" si="28"/>
        <v>0</v>
      </c>
      <c r="I136" s="299">
        <f t="shared" si="29"/>
        <v>0</v>
      </c>
      <c r="J136" s="160">
        <f t="shared" si="30"/>
        <v>0</v>
      </c>
      <c r="K136" s="160"/>
      <c r="L136" s="316"/>
      <c r="M136" s="160">
        <f t="shared" si="31"/>
        <v>0</v>
      </c>
      <c r="N136" s="316"/>
      <c r="O136" s="160">
        <f t="shared" si="32"/>
        <v>0</v>
      </c>
      <c r="P136" s="160">
        <f t="shared" si="33"/>
        <v>0</v>
      </c>
      <c r="Q136" s="1"/>
      <c r="R136" s="1"/>
      <c r="S136" s="1"/>
      <c r="T136" s="1"/>
      <c r="U136" s="1"/>
    </row>
    <row r="137" spans="2:21">
      <c r="B137" t="str">
        <f t="shared" si="26"/>
        <v/>
      </c>
      <c r="C137" s="155">
        <f>IF(D94="","-",+C136+1)</f>
        <v>2049</v>
      </c>
      <c r="D137" s="156">
        <f>IF(F136+SUM(E$100:E136)=D$93,F136,D$93-SUM(E$100:E136))</f>
        <v>0</v>
      </c>
      <c r="E137" s="162">
        <f>IF(+J97&lt;F136,J97,D137)</f>
        <v>0</v>
      </c>
      <c r="F137" s="161">
        <f t="shared" si="34"/>
        <v>0</v>
      </c>
      <c r="G137" s="161">
        <f t="shared" si="27"/>
        <v>0</v>
      </c>
      <c r="H137" s="165">
        <f t="shared" si="28"/>
        <v>0</v>
      </c>
      <c r="I137" s="299">
        <f t="shared" si="29"/>
        <v>0</v>
      </c>
      <c r="J137" s="160">
        <f t="shared" si="30"/>
        <v>0</v>
      </c>
      <c r="K137" s="160"/>
      <c r="L137" s="316"/>
      <c r="M137" s="160">
        <f t="shared" si="31"/>
        <v>0</v>
      </c>
      <c r="N137" s="316"/>
      <c r="O137" s="160">
        <f t="shared" si="32"/>
        <v>0</v>
      </c>
      <c r="P137" s="160">
        <f t="shared" si="33"/>
        <v>0</v>
      </c>
      <c r="Q137" s="1"/>
      <c r="R137" s="1"/>
      <c r="S137" s="1"/>
      <c r="T137" s="1"/>
      <c r="U137" s="1"/>
    </row>
    <row r="138" spans="2:21">
      <c r="B138" t="str">
        <f t="shared" si="26"/>
        <v/>
      </c>
      <c r="C138" s="155">
        <f>IF(D94="","-",+C137+1)</f>
        <v>2050</v>
      </c>
      <c r="D138" s="156">
        <f>IF(F137+SUM(E$100:E137)=D$93,F137,D$93-SUM(E$100:E137))</f>
        <v>0</v>
      </c>
      <c r="E138" s="162">
        <f>IF(+J97&lt;F137,J97,D138)</f>
        <v>0</v>
      </c>
      <c r="F138" s="161">
        <f t="shared" si="34"/>
        <v>0</v>
      </c>
      <c r="G138" s="161">
        <f t="shared" si="27"/>
        <v>0</v>
      </c>
      <c r="H138" s="165">
        <f t="shared" si="28"/>
        <v>0</v>
      </c>
      <c r="I138" s="299">
        <f t="shared" si="29"/>
        <v>0</v>
      </c>
      <c r="J138" s="160">
        <f t="shared" si="30"/>
        <v>0</v>
      </c>
      <c r="K138" s="160"/>
      <c r="L138" s="316"/>
      <c r="M138" s="160">
        <f t="shared" si="31"/>
        <v>0</v>
      </c>
      <c r="N138" s="316"/>
      <c r="O138" s="160">
        <f t="shared" si="32"/>
        <v>0</v>
      </c>
      <c r="P138" s="160">
        <f t="shared" si="33"/>
        <v>0</v>
      </c>
      <c r="Q138" s="1"/>
      <c r="R138" s="1"/>
      <c r="S138" s="1"/>
      <c r="T138" s="1"/>
      <c r="U138" s="1"/>
    </row>
    <row r="139" spans="2:21">
      <c r="B139" t="str">
        <f t="shared" si="26"/>
        <v/>
      </c>
      <c r="C139" s="155">
        <f>IF(D94="","-",+C138+1)</f>
        <v>2051</v>
      </c>
      <c r="D139" s="156">
        <f>IF(F138+SUM(E$100:E138)=D$93,F138,D$93-SUM(E$100:E138))</f>
        <v>0</v>
      </c>
      <c r="E139" s="162">
        <f>IF(+J97&lt;F138,J97,D139)</f>
        <v>0</v>
      </c>
      <c r="F139" s="161">
        <f t="shared" si="34"/>
        <v>0</v>
      </c>
      <c r="G139" s="161">
        <f t="shared" si="27"/>
        <v>0</v>
      </c>
      <c r="H139" s="165">
        <f t="shared" si="28"/>
        <v>0</v>
      </c>
      <c r="I139" s="299">
        <f t="shared" si="29"/>
        <v>0</v>
      </c>
      <c r="J139" s="160">
        <f t="shared" si="30"/>
        <v>0</v>
      </c>
      <c r="K139" s="160"/>
      <c r="L139" s="316"/>
      <c r="M139" s="160">
        <f t="shared" si="31"/>
        <v>0</v>
      </c>
      <c r="N139" s="316"/>
      <c r="O139" s="160">
        <f t="shared" si="32"/>
        <v>0</v>
      </c>
      <c r="P139" s="160">
        <f t="shared" si="33"/>
        <v>0</v>
      </c>
      <c r="Q139" s="1"/>
      <c r="R139" s="1"/>
      <c r="S139" s="1"/>
      <c r="T139" s="1"/>
      <c r="U139" s="1"/>
    </row>
    <row r="140" spans="2:21">
      <c r="B140" t="str">
        <f t="shared" si="26"/>
        <v/>
      </c>
      <c r="C140" s="155">
        <f>IF(D94="","-",+C139+1)</f>
        <v>2052</v>
      </c>
      <c r="D140" s="156">
        <f>IF(F139+SUM(E$100:E139)=D$93,F139,D$93-SUM(E$100:E139))</f>
        <v>0</v>
      </c>
      <c r="E140" s="162">
        <f>IF(+J97&lt;F139,J97,D140)</f>
        <v>0</v>
      </c>
      <c r="F140" s="161">
        <f t="shared" si="34"/>
        <v>0</v>
      </c>
      <c r="G140" s="161">
        <f t="shared" si="27"/>
        <v>0</v>
      </c>
      <c r="H140" s="165">
        <f t="shared" si="28"/>
        <v>0</v>
      </c>
      <c r="I140" s="299">
        <f t="shared" si="29"/>
        <v>0</v>
      </c>
      <c r="J140" s="160">
        <f t="shared" si="30"/>
        <v>0</v>
      </c>
      <c r="K140" s="160"/>
      <c r="L140" s="316"/>
      <c r="M140" s="160">
        <f t="shared" si="31"/>
        <v>0</v>
      </c>
      <c r="N140" s="316"/>
      <c r="O140" s="160">
        <f t="shared" si="32"/>
        <v>0</v>
      </c>
      <c r="P140" s="160">
        <f t="shared" si="33"/>
        <v>0</v>
      </c>
      <c r="Q140" s="1"/>
      <c r="R140" s="1"/>
      <c r="S140" s="1"/>
      <c r="T140" s="1"/>
      <c r="U140" s="1"/>
    </row>
    <row r="141" spans="2:21">
      <c r="B141" t="str">
        <f t="shared" si="26"/>
        <v/>
      </c>
      <c r="C141" s="155">
        <f>IF(D94="","-",+C140+1)</f>
        <v>2053</v>
      </c>
      <c r="D141" s="156">
        <f>IF(F140+SUM(E$100:E140)=D$93,F140,D$93-SUM(E$100:E140))</f>
        <v>0</v>
      </c>
      <c r="E141" s="162">
        <f>IF(+J97&lt;F140,J97,D141)</f>
        <v>0</v>
      </c>
      <c r="F141" s="161">
        <f t="shared" si="34"/>
        <v>0</v>
      </c>
      <c r="G141" s="161">
        <f t="shared" si="27"/>
        <v>0</v>
      </c>
      <c r="H141" s="165">
        <f t="shared" si="28"/>
        <v>0</v>
      </c>
      <c r="I141" s="299">
        <f t="shared" si="29"/>
        <v>0</v>
      </c>
      <c r="J141" s="160">
        <f t="shared" si="30"/>
        <v>0</v>
      </c>
      <c r="K141" s="160"/>
      <c r="L141" s="316"/>
      <c r="M141" s="160">
        <f t="shared" si="31"/>
        <v>0</v>
      </c>
      <c r="N141" s="316"/>
      <c r="O141" s="160">
        <f t="shared" si="32"/>
        <v>0</v>
      </c>
      <c r="P141" s="160">
        <f t="shared" si="33"/>
        <v>0</v>
      </c>
      <c r="Q141" s="1"/>
      <c r="R141" s="1"/>
      <c r="S141" s="1"/>
      <c r="T141" s="1"/>
      <c r="U141" s="1"/>
    </row>
    <row r="142" spans="2:21">
      <c r="B142" t="str">
        <f t="shared" si="26"/>
        <v/>
      </c>
      <c r="C142" s="155">
        <f>IF(D94="","-",+C141+1)</f>
        <v>2054</v>
      </c>
      <c r="D142" s="156">
        <f>IF(F141+SUM(E$100:E141)=D$93,F141,D$93-SUM(E$100:E141))</f>
        <v>0</v>
      </c>
      <c r="E142" s="162">
        <f>IF(+J97&lt;F141,J97,D142)</f>
        <v>0</v>
      </c>
      <c r="F142" s="161">
        <f t="shared" si="34"/>
        <v>0</v>
      </c>
      <c r="G142" s="161">
        <f t="shared" si="27"/>
        <v>0</v>
      </c>
      <c r="H142" s="165">
        <f t="shared" si="28"/>
        <v>0</v>
      </c>
      <c r="I142" s="299">
        <f t="shared" si="29"/>
        <v>0</v>
      </c>
      <c r="J142" s="160">
        <f t="shared" si="30"/>
        <v>0</v>
      </c>
      <c r="K142" s="160"/>
      <c r="L142" s="316"/>
      <c r="M142" s="160">
        <f t="shared" si="31"/>
        <v>0</v>
      </c>
      <c r="N142" s="316"/>
      <c r="O142" s="160">
        <f t="shared" si="32"/>
        <v>0</v>
      </c>
      <c r="P142" s="160">
        <f t="shared" si="33"/>
        <v>0</v>
      </c>
      <c r="Q142" s="1"/>
      <c r="R142" s="1"/>
      <c r="S142" s="1"/>
      <c r="T142" s="1"/>
      <c r="U142" s="1"/>
    </row>
    <row r="143" spans="2:21">
      <c r="B143" t="str">
        <f t="shared" si="26"/>
        <v/>
      </c>
      <c r="C143" s="155">
        <f>IF(D94="","-",+C142+1)</f>
        <v>2055</v>
      </c>
      <c r="D143" s="156">
        <f>IF(F142+SUM(E$100:E142)=D$93,F142,D$93-SUM(E$100:E142))</f>
        <v>0</v>
      </c>
      <c r="E143" s="162">
        <f>IF(+J97&lt;F142,J97,D143)</f>
        <v>0</v>
      </c>
      <c r="F143" s="161">
        <f t="shared" si="34"/>
        <v>0</v>
      </c>
      <c r="G143" s="161">
        <f t="shared" si="27"/>
        <v>0</v>
      </c>
      <c r="H143" s="165">
        <f t="shared" si="28"/>
        <v>0</v>
      </c>
      <c r="I143" s="299">
        <f t="shared" si="29"/>
        <v>0</v>
      </c>
      <c r="J143" s="160">
        <f t="shared" si="30"/>
        <v>0</v>
      </c>
      <c r="K143" s="160"/>
      <c r="L143" s="316"/>
      <c r="M143" s="160">
        <f t="shared" si="31"/>
        <v>0</v>
      </c>
      <c r="N143" s="316"/>
      <c r="O143" s="160">
        <f t="shared" si="32"/>
        <v>0</v>
      </c>
      <c r="P143" s="160">
        <f t="shared" si="33"/>
        <v>0</v>
      </c>
      <c r="Q143" s="1"/>
      <c r="R143" s="1"/>
      <c r="S143" s="1"/>
      <c r="T143" s="1"/>
      <c r="U143" s="1"/>
    </row>
    <row r="144" spans="2:21">
      <c r="B144" t="str">
        <f t="shared" si="26"/>
        <v/>
      </c>
      <c r="C144" s="155">
        <f>IF(D94="","-",+C143+1)</f>
        <v>2056</v>
      </c>
      <c r="D144" s="156">
        <f>IF(F143+SUM(E$100:E143)=D$93,F143,D$93-SUM(E$100:E143))</f>
        <v>0</v>
      </c>
      <c r="E144" s="162">
        <f>IF(+J97&lt;F143,J97,D144)</f>
        <v>0</v>
      </c>
      <c r="F144" s="161">
        <f t="shared" si="34"/>
        <v>0</v>
      </c>
      <c r="G144" s="161">
        <f t="shared" si="27"/>
        <v>0</v>
      </c>
      <c r="H144" s="165">
        <f t="shared" si="28"/>
        <v>0</v>
      </c>
      <c r="I144" s="299">
        <f t="shared" si="29"/>
        <v>0</v>
      </c>
      <c r="J144" s="160">
        <f t="shared" si="30"/>
        <v>0</v>
      </c>
      <c r="K144" s="160"/>
      <c r="L144" s="316"/>
      <c r="M144" s="160">
        <f t="shared" si="31"/>
        <v>0</v>
      </c>
      <c r="N144" s="316"/>
      <c r="O144" s="160">
        <f t="shared" si="32"/>
        <v>0</v>
      </c>
      <c r="P144" s="160">
        <f t="shared" si="33"/>
        <v>0</v>
      </c>
      <c r="Q144" s="1"/>
      <c r="R144" s="1"/>
      <c r="S144" s="1"/>
      <c r="T144" s="1"/>
      <c r="U144" s="1"/>
    </row>
    <row r="145" spans="2:21">
      <c r="B145" t="str">
        <f t="shared" si="26"/>
        <v/>
      </c>
      <c r="C145" s="155">
        <f>IF(D94="","-",+C144+1)</f>
        <v>2057</v>
      </c>
      <c r="D145" s="156">
        <f>IF(F144+SUM(E$100:E144)=D$93,F144,D$93-SUM(E$100:E144))</f>
        <v>0</v>
      </c>
      <c r="E145" s="162">
        <f>IF(+J97&lt;F144,J97,D145)</f>
        <v>0</v>
      </c>
      <c r="F145" s="161">
        <f t="shared" si="34"/>
        <v>0</v>
      </c>
      <c r="G145" s="161">
        <f t="shared" si="27"/>
        <v>0</v>
      </c>
      <c r="H145" s="165">
        <f t="shared" si="28"/>
        <v>0</v>
      </c>
      <c r="I145" s="299">
        <f t="shared" si="29"/>
        <v>0</v>
      </c>
      <c r="J145" s="160">
        <f t="shared" si="30"/>
        <v>0</v>
      </c>
      <c r="K145" s="160"/>
      <c r="L145" s="316"/>
      <c r="M145" s="160">
        <f t="shared" si="31"/>
        <v>0</v>
      </c>
      <c r="N145" s="316"/>
      <c r="O145" s="160">
        <f t="shared" si="32"/>
        <v>0</v>
      </c>
      <c r="P145" s="160">
        <f t="shared" si="33"/>
        <v>0</v>
      </c>
      <c r="Q145" s="1"/>
      <c r="R145" s="1"/>
      <c r="S145" s="1"/>
      <c r="T145" s="1"/>
      <c r="U145" s="1"/>
    </row>
    <row r="146" spans="2:21">
      <c r="B146" t="str">
        <f t="shared" si="26"/>
        <v/>
      </c>
      <c r="C146" s="155">
        <f>IF(D94="","-",+C145+1)</f>
        <v>2058</v>
      </c>
      <c r="D146" s="156">
        <f>IF(F145+SUM(E$100:E145)=D$93,F145,D$93-SUM(E$100:E145))</f>
        <v>0</v>
      </c>
      <c r="E146" s="162">
        <f>IF(+J97&lt;F145,J97,D146)</f>
        <v>0</v>
      </c>
      <c r="F146" s="161">
        <f t="shared" si="34"/>
        <v>0</v>
      </c>
      <c r="G146" s="161">
        <f t="shared" si="27"/>
        <v>0</v>
      </c>
      <c r="H146" s="165">
        <f t="shared" si="28"/>
        <v>0</v>
      </c>
      <c r="I146" s="299">
        <f t="shared" si="29"/>
        <v>0</v>
      </c>
      <c r="J146" s="160">
        <f t="shared" si="30"/>
        <v>0</v>
      </c>
      <c r="K146" s="160"/>
      <c r="L146" s="316"/>
      <c r="M146" s="160">
        <f t="shared" si="31"/>
        <v>0</v>
      </c>
      <c r="N146" s="316"/>
      <c r="O146" s="160">
        <f t="shared" si="32"/>
        <v>0</v>
      </c>
      <c r="P146" s="160">
        <f t="shared" si="33"/>
        <v>0</v>
      </c>
      <c r="Q146" s="1"/>
      <c r="R146" s="1"/>
      <c r="S146" s="1"/>
      <c r="T146" s="1"/>
      <c r="U146" s="1"/>
    </row>
    <row r="147" spans="2:21">
      <c r="B147" t="str">
        <f t="shared" si="26"/>
        <v/>
      </c>
      <c r="C147" s="155">
        <f>IF(D94="","-",+C146+1)</f>
        <v>2059</v>
      </c>
      <c r="D147" s="156">
        <f>IF(F146+SUM(E$100:E146)=D$93,F146,D$93-SUM(E$100:E146))</f>
        <v>0</v>
      </c>
      <c r="E147" s="162">
        <f>IF(+J97&lt;F146,J97,D147)</f>
        <v>0</v>
      </c>
      <c r="F147" s="161">
        <f t="shared" si="34"/>
        <v>0</v>
      </c>
      <c r="G147" s="161">
        <f t="shared" si="27"/>
        <v>0</v>
      </c>
      <c r="H147" s="165">
        <f t="shared" si="28"/>
        <v>0</v>
      </c>
      <c r="I147" s="299">
        <f t="shared" si="29"/>
        <v>0</v>
      </c>
      <c r="J147" s="160">
        <f t="shared" si="30"/>
        <v>0</v>
      </c>
      <c r="K147" s="160"/>
      <c r="L147" s="316"/>
      <c r="M147" s="160">
        <f t="shared" si="31"/>
        <v>0</v>
      </c>
      <c r="N147" s="316"/>
      <c r="O147" s="160">
        <f t="shared" si="32"/>
        <v>0</v>
      </c>
      <c r="P147" s="160">
        <f t="shared" si="33"/>
        <v>0</v>
      </c>
      <c r="Q147" s="1"/>
      <c r="R147" s="1"/>
      <c r="S147" s="1"/>
      <c r="T147" s="1"/>
      <c r="U147" s="1"/>
    </row>
    <row r="148" spans="2:21">
      <c r="B148" t="str">
        <f t="shared" si="26"/>
        <v/>
      </c>
      <c r="C148" s="155">
        <f>IF(D94="","-",+C147+1)</f>
        <v>2060</v>
      </c>
      <c r="D148" s="156">
        <f>IF(F147+SUM(E$100:E147)=D$93,F147,D$93-SUM(E$100:E147))</f>
        <v>0</v>
      </c>
      <c r="E148" s="162">
        <f>IF(+J97&lt;F147,J97,D148)</f>
        <v>0</v>
      </c>
      <c r="F148" s="161">
        <f t="shared" si="34"/>
        <v>0</v>
      </c>
      <c r="G148" s="161">
        <f t="shared" si="27"/>
        <v>0</v>
      </c>
      <c r="H148" s="165">
        <f t="shared" si="28"/>
        <v>0</v>
      </c>
      <c r="I148" s="299">
        <f t="shared" si="29"/>
        <v>0</v>
      </c>
      <c r="J148" s="160">
        <f t="shared" si="30"/>
        <v>0</v>
      </c>
      <c r="K148" s="160"/>
      <c r="L148" s="316"/>
      <c r="M148" s="160">
        <f t="shared" si="31"/>
        <v>0</v>
      </c>
      <c r="N148" s="316"/>
      <c r="O148" s="160">
        <f t="shared" si="32"/>
        <v>0</v>
      </c>
      <c r="P148" s="160">
        <f t="shared" si="33"/>
        <v>0</v>
      </c>
      <c r="Q148" s="1"/>
      <c r="R148" s="1"/>
      <c r="S148" s="1"/>
      <c r="T148" s="1"/>
      <c r="U148" s="1"/>
    </row>
    <row r="149" spans="2:21">
      <c r="B149" t="str">
        <f t="shared" si="26"/>
        <v/>
      </c>
      <c r="C149" s="155">
        <f>IF(D94="","-",+C148+1)</f>
        <v>2061</v>
      </c>
      <c r="D149" s="156">
        <f>IF(F148+SUM(E$100:E148)=D$93,F148,D$93-SUM(E$100:E148))</f>
        <v>0</v>
      </c>
      <c r="E149" s="162">
        <f>IF(+J97&lt;F148,J97,D149)</f>
        <v>0</v>
      </c>
      <c r="F149" s="161">
        <f t="shared" si="34"/>
        <v>0</v>
      </c>
      <c r="G149" s="161">
        <f t="shared" si="27"/>
        <v>0</v>
      </c>
      <c r="H149" s="165">
        <f t="shared" si="28"/>
        <v>0</v>
      </c>
      <c r="I149" s="299">
        <f t="shared" si="29"/>
        <v>0</v>
      </c>
      <c r="J149" s="160">
        <f t="shared" si="30"/>
        <v>0</v>
      </c>
      <c r="K149" s="160"/>
      <c r="L149" s="316"/>
      <c r="M149" s="160">
        <f t="shared" si="31"/>
        <v>0</v>
      </c>
      <c r="N149" s="316"/>
      <c r="O149" s="160">
        <f t="shared" si="32"/>
        <v>0</v>
      </c>
      <c r="P149" s="160">
        <f t="shared" si="33"/>
        <v>0</v>
      </c>
      <c r="Q149" s="1"/>
      <c r="R149" s="1"/>
      <c r="S149" s="1"/>
      <c r="T149" s="1"/>
      <c r="U149" s="1"/>
    </row>
    <row r="150" spans="2:21">
      <c r="B150" t="str">
        <f t="shared" si="26"/>
        <v/>
      </c>
      <c r="C150" s="155">
        <f>IF(D94="","-",+C149+1)</f>
        <v>2062</v>
      </c>
      <c r="D150" s="156">
        <f>IF(F149+SUM(E$100:E149)=D$93,F149,D$93-SUM(E$100:E149))</f>
        <v>0</v>
      </c>
      <c r="E150" s="162">
        <f>IF(+J97&lt;F149,J97,D150)</f>
        <v>0</v>
      </c>
      <c r="F150" s="161">
        <f t="shared" si="34"/>
        <v>0</v>
      </c>
      <c r="G150" s="161">
        <f t="shared" si="27"/>
        <v>0</v>
      </c>
      <c r="H150" s="165">
        <f t="shared" si="28"/>
        <v>0</v>
      </c>
      <c r="I150" s="299">
        <f t="shared" si="29"/>
        <v>0</v>
      </c>
      <c r="J150" s="160">
        <f t="shared" si="30"/>
        <v>0</v>
      </c>
      <c r="K150" s="160"/>
      <c r="L150" s="316"/>
      <c r="M150" s="160">
        <f t="shared" si="31"/>
        <v>0</v>
      </c>
      <c r="N150" s="316"/>
      <c r="O150" s="160">
        <f t="shared" si="32"/>
        <v>0</v>
      </c>
      <c r="P150" s="160">
        <f t="shared" si="33"/>
        <v>0</v>
      </c>
      <c r="Q150" s="1"/>
      <c r="R150" s="1"/>
      <c r="S150" s="1"/>
      <c r="T150" s="1"/>
      <c r="U150" s="1"/>
    </row>
    <row r="151" spans="2:21">
      <c r="B151" t="str">
        <f t="shared" si="26"/>
        <v/>
      </c>
      <c r="C151" s="155">
        <f>IF(D94="","-",+C150+1)</f>
        <v>2063</v>
      </c>
      <c r="D151" s="156">
        <f>IF(F150+SUM(E$100:E150)=D$93,F150,D$93-SUM(E$100:E150))</f>
        <v>0</v>
      </c>
      <c r="E151" s="162">
        <f>IF(+J97&lt;F150,J97,D151)</f>
        <v>0</v>
      </c>
      <c r="F151" s="161">
        <f t="shared" si="34"/>
        <v>0</v>
      </c>
      <c r="G151" s="161">
        <f t="shared" si="27"/>
        <v>0</v>
      </c>
      <c r="H151" s="165">
        <f t="shared" si="28"/>
        <v>0</v>
      </c>
      <c r="I151" s="299">
        <f t="shared" si="29"/>
        <v>0</v>
      </c>
      <c r="J151" s="160">
        <f t="shared" si="30"/>
        <v>0</v>
      </c>
      <c r="K151" s="160"/>
      <c r="L151" s="316"/>
      <c r="M151" s="160">
        <f t="shared" si="31"/>
        <v>0</v>
      </c>
      <c r="N151" s="316"/>
      <c r="O151" s="160">
        <f t="shared" si="32"/>
        <v>0</v>
      </c>
      <c r="P151" s="160">
        <f t="shared" si="33"/>
        <v>0</v>
      </c>
      <c r="Q151" s="1"/>
      <c r="R151" s="1"/>
      <c r="S151" s="1"/>
      <c r="T151" s="1"/>
      <c r="U151" s="1"/>
    </row>
    <row r="152" spans="2:21">
      <c r="B152" t="str">
        <f t="shared" si="26"/>
        <v/>
      </c>
      <c r="C152" s="155">
        <f>IF(D94="","-",+C151+1)</f>
        <v>2064</v>
      </c>
      <c r="D152" s="156">
        <f>IF(F151+SUM(E$100:E151)=D$93,F151,D$93-SUM(E$100:E151))</f>
        <v>0</v>
      </c>
      <c r="E152" s="162">
        <f>IF(+J97&lt;F151,J97,D152)</f>
        <v>0</v>
      </c>
      <c r="F152" s="161">
        <f t="shared" si="34"/>
        <v>0</v>
      </c>
      <c r="G152" s="161">
        <f t="shared" si="27"/>
        <v>0</v>
      </c>
      <c r="H152" s="165">
        <f t="shared" si="28"/>
        <v>0</v>
      </c>
      <c r="I152" s="299">
        <f t="shared" si="29"/>
        <v>0</v>
      </c>
      <c r="J152" s="160">
        <f t="shared" si="30"/>
        <v>0</v>
      </c>
      <c r="K152" s="160"/>
      <c r="L152" s="316"/>
      <c r="M152" s="160">
        <f t="shared" si="31"/>
        <v>0</v>
      </c>
      <c r="N152" s="316"/>
      <c r="O152" s="160">
        <f t="shared" si="32"/>
        <v>0</v>
      </c>
      <c r="P152" s="160">
        <f t="shared" si="33"/>
        <v>0</v>
      </c>
      <c r="Q152" s="1"/>
      <c r="R152" s="1"/>
      <c r="S152" s="1"/>
      <c r="T152" s="1"/>
      <c r="U152" s="1"/>
    </row>
    <row r="153" spans="2:21">
      <c r="B153" t="str">
        <f t="shared" si="26"/>
        <v/>
      </c>
      <c r="C153" s="155">
        <f>IF(D94="","-",+C152+1)</f>
        <v>2065</v>
      </c>
      <c r="D153" s="156">
        <f>IF(F152+SUM(E$100:E152)=D$93,F152,D$93-SUM(E$100:E152))</f>
        <v>0</v>
      </c>
      <c r="E153" s="162">
        <f>IF(+J97&lt;F152,J97,D153)</f>
        <v>0</v>
      </c>
      <c r="F153" s="161">
        <f t="shared" si="34"/>
        <v>0</v>
      </c>
      <c r="G153" s="161">
        <f t="shared" si="27"/>
        <v>0</v>
      </c>
      <c r="H153" s="165">
        <f t="shared" si="28"/>
        <v>0</v>
      </c>
      <c r="I153" s="299">
        <f t="shared" si="29"/>
        <v>0</v>
      </c>
      <c r="J153" s="160">
        <f t="shared" si="30"/>
        <v>0</v>
      </c>
      <c r="K153" s="160"/>
      <c r="L153" s="316"/>
      <c r="M153" s="160">
        <f t="shared" si="31"/>
        <v>0</v>
      </c>
      <c r="N153" s="316"/>
      <c r="O153" s="160">
        <f t="shared" si="32"/>
        <v>0</v>
      </c>
      <c r="P153" s="160">
        <f t="shared" si="33"/>
        <v>0</v>
      </c>
      <c r="Q153" s="1"/>
      <c r="R153" s="1"/>
      <c r="S153" s="1"/>
      <c r="T153" s="1"/>
      <c r="U153" s="1"/>
    </row>
    <row r="154" spans="2:21">
      <c r="B154" t="str">
        <f t="shared" si="26"/>
        <v/>
      </c>
      <c r="C154" s="155">
        <f>IF(D94="","-",+C153+1)</f>
        <v>2066</v>
      </c>
      <c r="D154" s="156">
        <f>IF(F153+SUM(E$100:E153)=D$93,F153,D$93-SUM(E$100:E153))</f>
        <v>0</v>
      </c>
      <c r="E154" s="162">
        <f>IF(+J97&lt;F153,J97,D154)</f>
        <v>0</v>
      </c>
      <c r="F154" s="161">
        <f t="shared" si="34"/>
        <v>0</v>
      </c>
      <c r="G154" s="161">
        <f t="shared" si="27"/>
        <v>0</v>
      </c>
      <c r="H154" s="165">
        <f t="shared" si="28"/>
        <v>0</v>
      </c>
      <c r="I154" s="299">
        <f t="shared" si="29"/>
        <v>0</v>
      </c>
      <c r="J154" s="160">
        <f t="shared" si="30"/>
        <v>0</v>
      </c>
      <c r="K154" s="160"/>
      <c r="L154" s="316"/>
      <c r="M154" s="160">
        <f t="shared" si="31"/>
        <v>0</v>
      </c>
      <c r="N154" s="316"/>
      <c r="O154" s="160">
        <f t="shared" si="32"/>
        <v>0</v>
      </c>
      <c r="P154" s="160">
        <f t="shared" si="33"/>
        <v>0</v>
      </c>
      <c r="Q154" s="1"/>
      <c r="R154" s="1"/>
      <c r="S154" s="1"/>
      <c r="T154" s="1"/>
      <c r="U154" s="1"/>
    </row>
    <row r="155" spans="2:21" ht="13.5" thickBot="1">
      <c r="B155" t="str">
        <f t="shared" si="26"/>
        <v/>
      </c>
      <c r="C155" s="166">
        <f>IF(D94="","-",+C154+1)</f>
        <v>2067</v>
      </c>
      <c r="D155" s="167">
        <f>IF(F154+SUM(E$100:E154)=D$93,F154,D$93-SUM(E$100:E154))</f>
        <v>0</v>
      </c>
      <c r="E155" s="168">
        <f>IF(+J97&lt;F154,J97,D155)</f>
        <v>0</v>
      </c>
      <c r="F155" s="167">
        <f t="shared" si="34"/>
        <v>0</v>
      </c>
      <c r="G155" s="167">
        <f t="shared" si="27"/>
        <v>0</v>
      </c>
      <c r="H155" s="169">
        <f t="shared" si="28"/>
        <v>0</v>
      </c>
      <c r="I155" s="300">
        <f t="shared" si="29"/>
        <v>0</v>
      </c>
      <c r="J155" s="171">
        <f t="shared" si="30"/>
        <v>0</v>
      </c>
      <c r="K155" s="160"/>
      <c r="L155" s="317"/>
      <c r="M155" s="171">
        <f t="shared" si="31"/>
        <v>0</v>
      </c>
      <c r="N155" s="317"/>
      <c r="O155" s="171">
        <f t="shared" si="32"/>
        <v>0</v>
      </c>
      <c r="P155" s="171">
        <f t="shared" si="33"/>
        <v>0</v>
      </c>
      <c r="Q155" s="1"/>
      <c r="R155" s="1"/>
      <c r="S155" s="1"/>
      <c r="T155" s="1"/>
      <c r="U155" s="1"/>
    </row>
    <row r="156" spans="2:21">
      <c r="C156" s="156" t="s">
        <v>75</v>
      </c>
      <c r="D156" s="112"/>
      <c r="E156" s="112">
        <f>SUM(E100:E155)</f>
        <v>0</v>
      </c>
      <c r="F156" s="112"/>
      <c r="G156" s="112"/>
      <c r="H156" s="112">
        <f>SUM(H100:H155)</f>
        <v>0</v>
      </c>
      <c r="I156" s="112">
        <f>SUM(I100:I155)</f>
        <v>0</v>
      </c>
      <c r="J156" s="112">
        <f>SUM(J100:J155)</f>
        <v>0</v>
      </c>
      <c r="K156" s="112"/>
      <c r="L156" s="112"/>
      <c r="M156" s="112"/>
      <c r="N156" s="112"/>
      <c r="O156" s="112"/>
      <c r="P156" s="1"/>
      <c r="Q156" s="1"/>
      <c r="R156" s="1"/>
      <c r="S156" s="1"/>
      <c r="T156" s="1"/>
      <c r="U156" s="1"/>
    </row>
    <row r="157" spans="2:21">
      <c r="D157" s="2"/>
      <c r="E157" s="1"/>
      <c r="F157" s="1"/>
      <c r="G157" s="1"/>
      <c r="H157" s="1"/>
      <c r="I157" s="3"/>
      <c r="J157" s="3"/>
      <c r="K157" s="112"/>
      <c r="L157" s="3"/>
      <c r="M157" s="3"/>
      <c r="N157" s="3"/>
      <c r="O157" s="3"/>
      <c r="P157" s="1"/>
      <c r="Q157" s="1"/>
      <c r="R157" s="1"/>
      <c r="S157" s="1"/>
      <c r="T157" s="1"/>
      <c r="U157" s="1"/>
    </row>
    <row r="158" spans="2:21">
      <c r="C158" s="215" t="s">
        <v>90</v>
      </c>
      <c r="D158" s="2"/>
      <c r="E158" s="1"/>
      <c r="F158" s="1"/>
      <c r="G158" s="1"/>
      <c r="H158" s="1"/>
      <c r="I158" s="3"/>
      <c r="J158" s="3"/>
      <c r="K158" s="112"/>
      <c r="L158" s="3"/>
      <c r="M158" s="3"/>
      <c r="N158" s="3"/>
      <c r="O158" s="3"/>
      <c r="P158" s="1"/>
      <c r="Q158" s="1"/>
      <c r="R158" s="1"/>
      <c r="S158" s="1"/>
      <c r="T158" s="1"/>
      <c r="U158" s="1"/>
    </row>
    <row r="159" spans="2:21">
      <c r="D159" s="2"/>
      <c r="E159" s="1"/>
      <c r="F159" s="1"/>
      <c r="G159" s="1"/>
      <c r="H159" s="1"/>
      <c r="I159" s="3"/>
      <c r="J159" s="3"/>
      <c r="K159" s="112"/>
      <c r="L159" s="3"/>
      <c r="M159" s="3"/>
      <c r="N159" s="3"/>
      <c r="O159" s="3"/>
      <c r="P159" s="1"/>
      <c r="Q159" s="1"/>
      <c r="R159" s="1"/>
      <c r="S159" s="1"/>
      <c r="T159" s="1"/>
      <c r="U159" s="1"/>
    </row>
    <row r="160" spans="2:21">
      <c r="C160" s="172" t="s">
        <v>96</v>
      </c>
      <c r="D160" s="156"/>
      <c r="E160" s="156"/>
      <c r="F160" s="156"/>
      <c r="G160" s="156"/>
      <c r="H160" s="112"/>
      <c r="I160" s="112"/>
      <c r="J160" s="173"/>
      <c r="K160" s="173"/>
      <c r="L160" s="173"/>
      <c r="M160" s="173"/>
      <c r="N160" s="173"/>
      <c r="O160" s="173"/>
      <c r="P160" s="1"/>
      <c r="Q160" s="1"/>
      <c r="R160" s="1"/>
      <c r="S160" s="1"/>
      <c r="T160" s="1"/>
      <c r="U160" s="1"/>
    </row>
    <row r="161" spans="3:21">
      <c r="C161" s="216" t="s">
        <v>76</v>
      </c>
      <c r="D161" s="156"/>
      <c r="E161" s="156"/>
      <c r="F161" s="156"/>
      <c r="G161" s="156"/>
      <c r="H161" s="112"/>
      <c r="I161" s="112"/>
      <c r="J161" s="173"/>
      <c r="K161" s="173"/>
      <c r="L161" s="173"/>
      <c r="M161" s="173"/>
      <c r="N161" s="173"/>
      <c r="O161" s="173"/>
      <c r="P161" s="1"/>
      <c r="Q161" s="1"/>
      <c r="R161" s="1"/>
      <c r="S161" s="1"/>
      <c r="T161" s="1"/>
      <c r="U161" s="1"/>
    </row>
    <row r="162" spans="3:21">
      <c r="C162" s="216" t="s">
        <v>77</v>
      </c>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phoneticPr fontId="0" type="noConversion"/>
  <conditionalFormatting sqref="C17:C73">
    <cfRule type="cellIs" dxfId="39" priority="1" stopIfTrue="1" operator="equal">
      <formula>$I$10</formula>
    </cfRule>
  </conditionalFormatting>
  <conditionalFormatting sqref="C100:C155">
    <cfRule type="cellIs" dxfId="38"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U163"/>
  <sheetViews>
    <sheetView view="pageBreakPreview" zoomScale="85" zoomScaleNormal="100" workbookViewId="0">
      <selection activeCell="D22" sqref="D22:H22"/>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4.7109375" customWidth="1"/>
    <col min="23" max="23" width="9.140625" customWidth="1"/>
  </cols>
  <sheetData>
    <row r="1" spans="1:21" ht="20.25">
      <c r="A1" s="240" t="s">
        <v>189</v>
      </c>
      <c r="B1" s="1"/>
      <c r="C1" s="23"/>
      <c r="D1" s="2"/>
      <c r="E1" s="1"/>
      <c r="F1" s="100"/>
      <c r="G1" s="1"/>
      <c r="H1" s="3"/>
      <c r="J1" s="7"/>
      <c r="K1" s="110"/>
      <c r="L1" s="110"/>
      <c r="M1" s="110"/>
      <c r="P1" s="246" t="str">
        <f ca="1">"OKT Project "&amp;RIGHT(MID(CELL("filename",$A$1),FIND("]",CELL("filename",$A$1))+1,256),1)&amp;" of "&amp;COUNT('OKT.001:OKT.xyz - blank'!$P$3)-1</f>
        <v>OKT Project 6 of 19</v>
      </c>
      <c r="Q1" s="109"/>
      <c r="R1" s="1"/>
      <c r="S1" s="1"/>
      <c r="T1" s="1"/>
      <c r="U1" s="1">
        <v>2017</v>
      </c>
    </row>
    <row r="2" spans="1:21" ht="18">
      <c r="B2" s="1"/>
      <c r="C2" s="1"/>
      <c r="D2" s="2"/>
      <c r="E2" s="1"/>
      <c r="F2" s="1"/>
      <c r="G2" s="1"/>
      <c r="H2" s="3"/>
      <c r="I2" s="1"/>
      <c r="J2" s="4"/>
      <c r="K2" s="1"/>
      <c r="L2" s="1"/>
      <c r="M2" s="1"/>
      <c r="N2" s="1"/>
      <c r="P2" s="247" t="s">
        <v>131</v>
      </c>
      <c r="R2" s="1"/>
      <c r="S2" s="1"/>
      <c r="T2" s="1"/>
      <c r="U2" s="1"/>
    </row>
    <row r="3" spans="1:21" ht="18.75">
      <c r="B3" s="5" t="s">
        <v>42</v>
      </c>
      <c r="C3" s="69" t="s">
        <v>43</v>
      </c>
      <c r="D3" s="2"/>
      <c r="E3" s="1"/>
      <c r="F3" s="1"/>
      <c r="G3" s="1"/>
      <c r="H3" s="3" t="str">
        <f>"For Calendar Year "&amp;V1-1&amp;" and Projected Year "&amp;V1</f>
        <v xml:space="preserve">For Calendar Year -1 and Projected Year </v>
      </c>
      <c r="I3" s="3"/>
      <c r="J3" s="112"/>
      <c r="K3" s="3"/>
      <c r="L3" s="3"/>
      <c r="M3" s="3"/>
      <c r="N3" s="3"/>
      <c r="O3" s="1"/>
      <c r="P3" s="237">
        <v>1</v>
      </c>
      <c r="R3" s="1"/>
      <c r="S3" s="1"/>
      <c r="T3" s="1"/>
      <c r="U3" s="1"/>
    </row>
    <row r="4" spans="1:21" ht="15.75" thickBot="1">
      <c r="C4" s="68"/>
      <c r="D4" s="2"/>
      <c r="E4" s="1"/>
      <c r="F4" s="1"/>
      <c r="G4" s="1"/>
      <c r="H4" s="3"/>
      <c r="I4" s="3"/>
      <c r="J4" s="112"/>
      <c r="K4" s="3"/>
      <c r="L4" s="3"/>
      <c r="M4" s="3"/>
      <c r="N4" s="3"/>
      <c r="O4" s="1"/>
      <c r="P4" s="1"/>
      <c r="R4" s="1"/>
      <c r="S4" s="1"/>
      <c r="T4" s="1"/>
      <c r="U4" s="1"/>
    </row>
    <row r="5" spans="1:21" ht="15">
      <c r="C5" s="113" t="s">
        <v>44</v>
      </c>
      <c r="D5" s="2"/>
      <c r="E5" s="1"/>
      <c r="F5" s="1"/>
      <c r="G5" s="114"/>
      <c r="H5" s="1" t="s">
        <v>45</v>
      </c>
      <c r="I5" s="1"/>
      <c r="J5" s="4"/>
      <c r="K5" s="115" t="s">
        <v>242</v>
      </c>
      <c r="L5" s="116"/>
      <c r="M5" s="117"/>
      <c r="N5" s="118">
        <f>VLOOKUP(I10,C17:I73,5)</f>
        <v>3804133.0137326475</v>
      </c>
      <c r="P5" s="1"/>
      <c r="R5" s="1"/>
      <c r="S5" s="1"/>
      <c r="T5" s="1"/>
      <c r="U5" s="1"/>
    </row>
    <row r="6" spans="1:21" ht="15.75">
      <c r="C6" s="8"/>
      <c r="D6" s="2"/>
      <c r="E6" s="1"/>
      <c r="F6" s="1"/>
      <c r="G6" s="1"/>
      <c r="H6" s="119"/>
      <c r="I6" s="119"/>
      <c r="J6" s="120"/>
      <c r="K6" s="121" t="s">
        <v>243</v>
      </c>
      <c r="L6" s="122"/>
      <c r="M6" s="4"/>
      <c r="N6" s="123">
        <f>VLOOKUP(I10,C17:I73,6)</f>
        <v>3804133.0137326475</v>
      </c>
      <c r="O6" s="1"/>
      <c r="P6" s="1"/>
      <c r="R6" s="1"/>
      <c r="S6" s="1"/>
      <c r="T6" s="1"/>
      <c r="U6" s="1"/>
    </row>
    <row r="7" spans="1:21" ht="13.5" thickBot="1">
      <c r="C7" s="124" t="s">
        <v>46</v>
      </c>
      <c r="D7" s="258" t="s">
        <v>206</v>
      </c>
      <c r="E7" s="1"/>
      <c r="F7" s="1"/>
      <c r="G7" s="1"/>
      <c r="H7" s="3"/>
      <c r="I7" s="3"/>
      <c r="J7" s="112"/>
      <c r="K7" s="125" t="s">
        <v>47</v>
      </c>
      <c r="L7" s="126"/>
      <c r="M7" s="126"/>
      <c r="N7" s="127">
        <f>+N6-N5</f>
        <v>0</v>
      </c>
      <c r="O7" s="1"/>
      <c r="P7" s="1"/>
      <c r="R7" s="1"/>
      <c r="S7" s="1"/>
      <c r="T7" s="1"/>
      <c r="U7" s="1"/>
    </row>
    <row r="8" spans="1:21" ht="13.5" thickBot="1">
      <c r="C8" s="128"/>
      <c r="D8" s="244" t="str">
        <f>IF(D10&lt;100000,"DOES NOT MEET SPP $100,000 MINIMUM INVESTMENT FOR REGIONAL BPU SHARING.","")</f>
        <v/>
      </c>
      <c r="E8" s="129"/>
      <c r="F8" s="129"/>
      <c r="G8" s="129"/>
      <c r="H8" s="129"/>
      <c r="I8" s="129"/>
      <c r="J8" s="102"/>
      <c r="K8" s="129"/>
      <c r="L8" s="129"/>
      <c r="M8" s="129"/>
      <c r="N8" s="129"/>
      <c r="O8" s="102"/>
      <c r="P8" s="23"/>
      <c r="R8" s="1"/>
      <c r="S8" s="1"/>
      <c r="T8" s="1"/>
      <c r="U8" s="1"/>
    </row>
    <row r="9" spans="1:21" ht="13.5" thickBot="1">
      <c r="A9" s="104"/>
      <c r="C9" s="130" t="s">
        <v>48</v>
      </c>
      <c r="D9" s="224" t="s">
        <v>205</v>
      </c>
      <c r="E9" s="131"/>
      <c r="F9" s="131"/>
      <c r="G9" s="131"/>
      <c r="H9" s="131"/>
      <c r="I9" s="132"/>
      <c r="J9" s="133"/>
      <c r="O9" s="134"/>
      <c r="P9" s="4"/>
      <c r="R9" s="1"/>
      <c r="S9" s="1"/>
      <c r="T9" s="1"/>
      <c r="U9" s="1"/>
    </row>
    <row r="10" spans="1:21">
      <c r="C10" s="135" t="s">
        <v>49</v>
      </c>
      <c r="D10" s="136">
        <v>28914235.739999998</v>
      </c>
      <c r="E10" s="63" t="s">
        <v>50</v>
      </c>
      <c r="F10" s="134"/>
      <c r="G10" s="137"/>
      <c r="H10" s="137"/>
      <c r="I10" s="138">
        <f>+OKT.WS.F.BPU.ATRR.Projected!R100</f>
        <v>2018</v>
      </c>
      <c r="J10" s="133"/>
      <c r="K10" s="112" t="s">
        <v>51</v>
      </c>
      <c r="O10" s="4"/>
      <c r="P10" s="4"/>
      <c r="R10" s="1"/>
      <c r="S10" s="1"/>
      <c r="T10" s="1"/>
      <c r="U10" s="1"/>
    </row>
    <row r="11" spans="1:21">
      <c r="C11" s="139" t="s">
        <v>52</v>
      </c>
      <c r="D11" s="140">
        <v>2013</v>
      </c>
      <c r="E11" s="139" t="s">
        <v>53</v>
      </c>
      <c r="F11" s="137"/>
      <c r="G11" s="7"/>
      <c r="H11" s="7"/>
      <c r="I11" s="141">
        <v>0</v>
      </c>
      <c r="J11" s="142"/>
      <c r="K11" t="str">
        <f>"          INPUT PROJECTED ARR (WITH &amp; WITHOUT INCENTIVES) FROM EACH PRIOR YEAR"</f>
        <v xml:space="preserve">          INPUT PROJECTED ARR (WITH &amp; WITHOUT INCENTIVES) FROM EACH PRIOR YEAR</v>
      </c>
      <c r="O11" s="4"/>
      <c r="P11" s="4"/>
      <c r="R11" s="1"/>
      <c r="S11" s="1"/>
      <c r="T11" s="1"/>
      <c r="U11" s="1"/>
    </row>
    <row r="12" spans="1:21">
      <c r="C12" s="139" t="s">
        <v>54</v>
      </c>
      <c r="D12" s="136">
        <v>8</v>
      </c>
      <c r="E12" s="139" t="s">
        <v>55</v>
      </c>
      <c r="F12" s="137"/>
      <c r="G12" s="7"/>
      <c r="H12" s="7"/>
      <c r="I12" s="143">
        <f>OKT.WS.F.BPU.ATRR.Projected!$F$78</f>
        <v>0.11749102697326873</v>
      </c>
      <c r="J12" s="336"/>
      <c r="K12" t="s">
        <v>56</v>
      </c>
      <c r="O12" s="4"/>
      <c r="P12" s="4"/>
      <c r="R12" s="1"/>
      <c r="S12" s="1"/>
      <c r="T12" s="1"/>
      <c r="U12" s="1"/>
    </row>
    <row r="13" spans="1:21">
      <c r="C13" s="139" t="s">
        <v>57</v>
      </c>
      <c r="D13" s="141">
        <f>OKT.WS.F.BPU.ATRR.Projected!F89</f>
        <v>40.775414749061937</v>
      </c>
      <c r="E13" s="139" t="s">
        <v>58</v>
      </c>
      <c r="F13" s="137"/>
      <c r="G13" s="7"/>
      <c r="H13" s="7"/>
      <c r="I13" s="143">
        <f>IF(G5="",I12,OKT.WS.F.BPU.ATRR.Projected!$F$77)</f>
        <v>0.11749102697326873</v>
      </c>
      <c r="J13" s="144"/>
      <c r="K13" s="112" t="s">
        <v>59</v>
      </c>
      <c r="L13" s="60"/>
      <c r="M13" s="60"/>
      <c r="N13" s="60"/>
      <c r="O13" s="4"/>
      <c r="P13" s="4"/>
      <c r="R13" s="1"/>
      <c r="S13" s="1"/>
      <c r="T13" s="1"/>
      <c r="U13" s="1"/>
    </row>
    <row r="14" spans="1:21" ht="13.5" thickBot="1">
      <c r="C14" s="139" t="s">
        <v>60</v>
      </c>
      <c r="D14" s="140" t="s">
        <v>61</v>
      </c>
      <c r="E14" s="4" t="s">
        <v>62</v>
      </c>
      <c r="F14" s="137"/>
      <c r="G14" s="7"/>
      <c r="H14" s="7"/>
      <c r="I14" s="145">
        <f>IF(D10=0,0,D10/D13)</f>
        <v>709109.54353113449</v>
      </c>
      <c r="J14" s="112"/>
      <c r="K14" s="112"/>
      <c r="L14" s="112"/>
      <c r="M14" s="112"/>
      <c r="N14" s="112"/>
      <c r="O14" s="4"/>
      <c r="P14" s="4"/>
      <c r="R14" s="1"/>
      <c r="S14" s="1"/>
      <c r="T14" s="1"/>
      <c r="U14" s="1"/>
    </row>
    <row r="15" spans="1:21" ht="38.25">
      <c r="C15" s="146" t="s">
        <v>49</v>
      </c>
      <c r="D15" s="319" t="s">
        <v>193</v>
      </c>
      <c r="E15" s="147" t="s">
        <v>63</v>
      </c>
      <c r="F15" s="147" t="s">
        <v>64</v>
      </c>
      <c r="G15" s="448" t="s">
        <v>251</v>
      </c>
      <c r="H15" s="449" t="s">
        <v>252</v>
      </c>
      <c r="I15" s="146" t="s">
        <v>65</v>
      </c>
      <c r="J15" s="148"/>
      <c r="K15" s="319" t="s">
        <v>176</v>
      </c>
      <c r="L15" s="320" t="s">
        <v>66</v>
      </c>
      <c r="M15" s="319" t="s">
        <v>176</v>
      </c>
      <c r="N15" s="320" t="s">
        <v>66</v>
      </c>
      <c r="O15" s="149" t="s">
        <v>67</v>
      </c>
      <c r="P15" s="4"/>
      <c r="R15" s="1"/>
      <c r="S15" s="1"/>
      <c r="T15" s="1"/>
      <c r="U15" s="1"/>
    </row>
    <row r="16" spans="1:21" ht="13.5" thickBot="1">
      <c r="C16" s="150" t="s">
        <v>68</v>
      </c>
      <c r="D16" s="338" t="s">
        <v>69</v>
      </c>
      <c r="E16" s="150" t="s">
        <v>70</v>
      </c>
      <c r="F16" s="150" t="s">
        <v>69</v>
      </c>
      <c r="G16" s="302" t="s">
        <v>71</v>
      </c>
      <c r="H16" s="151" t="s">
        <v>72</v>
      </c>
      <c r="I16" s="152" t="s">
        <v>93</v>
      </c>
      <c r="J16" s="153" t="s">
        <v>73</v>
      </c>
      <c r="K16" s="154" t="s">
        <v>74</v>
      </c>
      <c r="L16" s="321" t="s">
        <v>74</v>
      </c>
      <c r="M16" s="154" t="s">
        <v>94</v>
      </c>
      <c r="N16" s="322" t="s">
        <v>94</v>
      </c>
      <c r="O16" s="154" t="s">
        <v>94</v>
      </c>
      <c r="P16" s="4"/>
      <c r="R16" s="1"/>
      <c r="S16" s="1"/>
      <c r="T16" s="1"/>
      <c r="U16" s="1"/>
    </row>
    <row r="17" spans="2:21">
      <c r="B17" t="str">
        <f t="shared" ref="B17:B49" si="0">IF(D17=F16,"","IU")</f>
        <v>IU</v>
      </c>
      <c r="C17" s="341">
        <f>IF(D11= "","-",D11)</f>
        <v>2013</v>
      </c>
      <c r="D17" s="373">
        <v>6627800</v>
      </c>
      <c r="E17" s="374">
        <v>57327.852379007891</v>
      </c>
      <c r="F17" s="373">
        <v>6570472.1476209918</v>
      </c>
      <c r="G17" s="375">
        <v>692344.48890277033</v>
      </c>
      <c r="H17" s="376">
        <v>692344.48890277033</v>
      </c>
      <c r="I17" s="342">
        <v>0</v>
      </c>
      <c r="J17" s="158"/>
      <c r="K17" s="318">
        <f t="shared" ref="K17:K22" si="1">G17</f>
        <v>692344.48890277033</v>
      </c>
      <c r="L17" s="388">
        <f t="shared" ref="L17:L49" si="2">IF(K17&lt;&gt;0,+G17-K17,0)</f>
        <v>0</v>
      </c>
      <c r="M17" s="389">
        <f t="shared" ref="M17:M22" si="3">H17</f>
        <v>692344.48890277033</v>
      </c>
      <c r="N17" s="367">
        <f t="shared" ref="N17:N49" si="4">IF(M17&lt;&gt;0,+H17-M17,0)</f>
        <v>0</v>
      </c>
      <c r="O17" s="160">
        <f t="shared" ref="O17:O49" si="5">+N17-L17</f>
        <v>0</v>
      </c>
      <c r="P17" s="4"/>
      <c r="R17" s="1"/>
      <c r="S17" s="1"/>
      <c r="T17" s="1"/>
      <c r="U17" s="1"/>
    </row>
    <row r="18" spans="2:21">
      <c r="B18" t="str">
        <f t="shared" si="0"/>
        <v>IU</v>
      </c>
      <c r="C18" s="155">
        <f>IF(D11="","-",+C17+1)</f>
        <v>2014</v>
      </c>
      <c r="D18" s="377">
        <v>28510458.147620991</v>
      </c>
      <c r="E18" s="375">
        <v>494200.13235254184</v>
      </c>
      <c r="F18" s="377">
        <v>28016258.015268449</v>
      </c>
      <c r="G18" s="375">
        <v>3554730.1038106573</v>
      </c>
      <c r="H18" s="376">
        <v>3554730.1038106573</v>
      </c>
      <c r="I18" s="158">
        <v>0</v>
      </c>
      <c r="J18" s="158"/>
      <c r="K18" s="344">
        <f t="shared" si="1"/>
        <v>3554730.1038106573</v>
      </c>
      <c r="L18" s="390">
        <f>IF(K18&lt;&gt;0,+G18-K18,0)</f>
        <v>0</v>
      </c>
      <c r="M18" s="391">
        <f t="shared" si="3"/>
        <v>3554730.1038106573</v>
      </c>
      <c r="N18" s="158">
        <f>IF(M18&lt;&gt;0,+H18-M18,0)</f>
        <v>0</v>
      </c>
      <c r="O18" s="160">
        <f>+N18-L18</f>
        <v>0</v>
      </c>
      <c r="P18" s="4"/>
      <c r="R18" s="1"/>
      <c r="S18" s="1"/>
      <c r="T18" s="1"/>
      <c r="U18" s="1"/>
    </row>
    <row r="19" spans="2:21">
      <c r="B19" t="str">
        <f t="shared" si="0"/>
        <v>IU</v>
      </c>
      <c r="C19" s="155">
        <f>IF(D11="","-",+C18+1)</f>
        <v>2015</v>
      </c>
      <c r="D19" s="377">
        <v>28130872.015268449</v>
      </c>
      <c r="E19" s="375">
        <v>496182.86401993298</v>
      </c>
      <c r="F19" s="377">
        <v>27634689.151248515</v>
      </c>
      <c r="G19" s="375">
        <v>3536753.8544176081</v>
      </c>
      <c r="H19" s="376">
        <v>3536753.8544176081</v>
      </c>
      <c r="I19" s="158">
        <v>0</v>
      </c>
      <c r="J19" s="158"/>
      <c r="K19" s="344">
        <f t="shared" si="1"/>
        <v>3536753.8544176081</v>
      </c>
      <c r="L19" s="345">
        <f>IF(K19&lt;&gt;0,+G19-K19,0)</f>
        <v>0</v>
      </c>
      <c r="M19" s="344">
        <f t="shared" si="3"/>
        <v>3536753.8544176081</v>
      </c>
      <c r="N19" s="160">
        <f>IF(M19&lt;&gt;0,+H19-M19,0)</f>
        <v>0</v>
      </c>
      <c r="O19" s="160">
        <f>+N19-L19</f>
        <v>0</v>
      </c>
      <c r="P19" s="4"/>
      <c r="R19" s="1"/>
      <c r="S19" s="1"/>
      <c r="T19" s="1"/>
      <c r="U19" s="1"/>
    </row>
    <row r="20" spans="2:21">
      <c r="B20" t="str">
        <f t="shared" si="0"/>
        <v>IU</v>
      </c>
      <c r="C20" s="155">
        <f>IF(D11="","-",+C19+1)</f>
        <v>2016</v>
      </c>
      <c r="D20" s="377">
        <v>27866524.891248517</v>
      </c>
      <c r="E20" s="375">
        <v>600822.03590460983</v>
      </c>
      <c r="F20" s="377">
        <v>27265702.855343908</v>
      </c>
      <c r="G20" s="375">
        <v>3542256.1502628839</v>
      </c>
      <c r="H20" s="376">
        <v>3542256.1502628839</v>
      </c>
      <c r="I20" s="158">
        <f t="shared" ref="I20:I49" si="6">H20-G20</f>
        <v>0</v>
      </c>
      <c r="J20" s="158"/>
      <c r="K20" s="344">
        <f t="shared" si="1"/>
        <v>3542256.1502628839</v>
      </c>
      <c r="L20" s="345">
        <f>IF(K20&lt;&gt;0,+G20-K20,0)</f>
        <v>0</v>
      </c>
      <c r="M20" s="344">
        <f t="shared" si="3"/>
        <v>3542256.1502628839</v>
      </c>
      <c r="N20" s="160">
        <f t="shared" si="4"/>
        <v>0</v>
      </c>
      <c r="O20" s="160">
        <f t="shared" si="5"/>
        <v>0</v>
      </c>
      <c r="P20" s="4"/>
      <c r="R20" s="1"/>
      <c r="S20" s="1"/>
      <c r="T20" s="1"/>
      <c r="U20" s="1"/>
    </row>
    <row r="21" spans="2:21">
      <c r="B21" t="str">
        <f t="shared" si="0"/>
        <v/>
      </c>
      <c r="C21" s="155">
        <f>IF(D12="","-",+C20+1)</f>
        <v>2017</v>
      </c>
      <c r="D21" s="377">
        <v>27265702.855343908</v>
      </c>
      <c r="E21" s="375">
        <v>568511.11858112796</v>
      </c>
      <c r="F21" s="377">
        <v>26697191.736762781</v>
      </c>
      <c r="G21" s="375">
        <v>3534850.6884225709</v>
      </c>
      <c r="H21" s="376">
        <v>3534850.6884225709</v>
      </c>
      <c r="I21" s="158">
        <f t="shared" si="6"/>
        <v>0</v>
      </c>
      <c r="J21" s="158"/>
      <c r="K21" s="344">
        <f t="shared" si="1"/>
        <v>3534850.6884225709</v>
      </c>
      <c r="L21" s="345">
        <f>IF(K21&lt;&gt;0,+G21-K21,0)</f>
        <v>0</v>
      </c>
      <c r="M21" s="344">
        <f t="shared" si="3"/>
        <v>3534850.6884225709</v>
      </c>
      <c r="N21" s="160">
        <f>IF(M21&lt;&gt;0,+H21-M21,0)</f>
        <v>0</v>
      </c>
      <c r="O21" s="160">
        <f>+N21-L21</f>
        <v>0</v>
      </c>
      <c r="P21" s="4"/>
      <c r="R21" s="1"/>
      <c r="S21" s="1"/>
      <c r="T21" s="1"/>
      <c r="U21" s="1"/>
    </row>
    <row r="22" spans="2:21">
      <c r="B22" t="str">
        <f t="shared" si="0"/>
        <v/>
      </c>
      <c r="C22" s="155">
        <f>IF(D11="","-",+C21+1)</f>
        <v>2018</v>
      </c>
      <c r="D22" s="377">
        <v>26697191.736762781</v>
      </c>
      <c r="E22" s="375">
        <v>709109.54353113449</v>
      </c>
      <c r="F22" s="377">
        <v>25988082.193231646</v>
      </c>
      <c r="G22" s="375">
        <v>3804133.0137326475</v>
      </c>
      <c r="H22" s="376">
        <v>3804133.0137326475</v>
      </c>
      <c r="I22" s="158">
        <v>0</v>
      </c>
      <c r="J22" s="158"/>
      <c r="K22" s="344">
        <f t="shared" si="1"/>
        <v>3804133.0137326475</v>
      </c>
      <c r="L22" s="345">
        <f>IF(K22&lt;&gt;0,+G22-K22,0)</f>
        <v>0</v>
      </c>
      <c r="M22" s="344">
        <f t="shared" si="3"/>
        <v>3804133.0137326475</v>
      </c>
      <c r="N22" s="160">
        <f>IF(M22&lt;&gt;0,+H22-M22,0)</f>
        <v>0</v>
      </c>
      <c r="O22" s="160">
        <f>+N22-L22</f>
        <v>0</v>
      </c>
      <c r="P22" s="4"/>
      <c r="R22" s="1"/>
      <c r="S22" s="1"/>
      <c r="T22" s="1"/>
      <c r="U22" s="1"/>
    </row>
    <row r="23" spans="2:21">
      <c r="B23" t="str">
        <f t="shared" si="0"/>
        <v/>
      </c>
      <c r="C23" s="155">
        <f>IF(D11="","-",+C22+1)</f>
        <v>2019</v>
      </c>
      <c r="D23" s="164">
        <f>IF(F22+SUM(E$17:E22)=D$10,F22,D$10-SUM(E$17:E22))</f>
        <v>25988082.193231646</v>
      </c>
      <c r="E23" s="162">
        <f>IF(+I14&lt;F22,I14,D23)</f>
        <v>709109.54353113449</v>
      </c>
      <c r="F23" s="161">
        <f t="shared" ref="F23:F49" si="7">+D23-E23</f>
        <v>25278972.649700511</v>
      </c>
      <c r="G23" s="163">
        <f t="shared" ref="G23:G73" si="8">(D23+F23)/2*I$12+E23</f>
        <v>3720819.0052266289</v>
      </c>
      <c r="H23" s="145">
        <f t="shared" ref="H23:H73" si="9">+(D23+F23)/2*I$13+E23</f>
        <v>3720819.0052266289</v>
      </c>
      <c r="I23" s="158">
        <f t="shared" si="6"/>
        <v>0</v>
      </c>
      <c r="J23" s="158"/>
      <c r="K23" s="316"/>
      <c r="L23" s="160">
        <f t="shared" si="2"/>
        <v>0</v>
      </c>
      <c r="M23" s="316"/>
      <c r="N23" s="160">
        <f t="shared" si="4"/>
        <v>0</v>
      </c>
      <c r="O23" s="160">
        <f t="shared" si="5"/>
        <v>0</v>
      </c>
      <c r="P23" s="4"/>
      <c r="R23" s="1"/>
      <c r="S23" s="1"/>
      <c r="T23" s="1"/>
      <c r="U23" s="1"/>
    </row>
    <row r="24" spans="2:21">
      <c r="B24" t="str">
        <f t="shared" si="0"/>
        <v/>
      </c>
      <c r="C24" s="155">
        <f>IF(D11="","-",+C23+1)</f>
        <v>2020</v>
      </c>
      <c r="D24" s="164">
        <f>IF(F23+SUM(E$17:E23)=D$10,F23,D$10-SUM(E$17:E23))</f>
        <v>25278972.649700511</v>
      </c>
      <c r="E24" s="162">
        <f>IF(+I14&lt;F23,I14,D24)</f>
        <v>709109.54353113449</v>
      </c>
      <c r="F24" s="161">
        <f t="shared" si="7"/>
        <v>24569863.106169377</v>
      </c>
      <c r="G24" s="163">
        <f t="shared" si="8"/>
        <v>3637504.9967206102</v>
      </c>
      <c r="H24" s="145">
        <f t="shared" si="9"/>
        <v>3637504.9967206102</v>
      </c>
      <c r="I24" s="158">
        <f t="shared" si="6"/>
        <v>0</v>
      </c>
      <c r="J24" s="158"/>
      <c r="K24" s="316"/>
      <c r="L24" s="160">
        <f t="shared" si="2"/>
        <v>0</v>
      </c>
      <c r="M24" s="316"/>
      <c r="N24" s="160">
        <f t="shared" si="4"/>
        <v>0</v>
      </c>
      <c r="O24" s="160">
        <f t="shared" si="5"/>
        <v>0</v>
      </c>
      <c r="P24" s="4"/>
      <c r="R24" s="1"/>
      <c r="S24" s="1"/>
      <c r="T24" s="1"/>
      <c r="U24" s="1"/>
    </row>
    <row r="25" spans="2:21">
      <c r="B25" t="str">
        <f t="shared" si="0"/>
        <v/>
      </c>
      <c r="C25" s="155">
        <f>IF(D11="","-",+C24+1)</f>
        <v>2021</v>
      </c>
      <c r="D25" s="164">
        <f>IF(F24+SUM(E$17:E24)=D$10,F24,D$10-SUM(E$17:E24))</f>
        <v>24569863.106169377</v>
      </c>
      <c r="E25" s="162">
        <f>IF(+I14&lt;F24,I14,D25)</f>
        <v>709109.54353113449</v>
      </c>
      <c r="F25" s="161">
        <f t="shared" si="7"/>
        <v>23860753.562638242</v>
      </c>
      <c r="G25" s="163">
        <f t="shared" si="8"/>
        <v>3554190.9882145915</v>
      </c>
      <c r="H25" s="145">
        <f t="shared" si="9"/>
        <v>3554190.9882145915</v>
      </c>
      <c r="I25" s="158">
        <f t="shared" si="6"/>
        <v>0</v>
      </c>
      <c r="J25" s="158"/>
      <c r="K25" s="316"/>
      <c r="L25" s="160">
        <f t="shared" si="2"/>
        <v>0</v>
      </c>
      <c r="M25" s="316"/>
      <c r="N25" s="160">
        <f t="shared" si="4"/>
        <v>0</v>
      </c>
      <c r="O25" s="160">
        <f t="shared" si="5"/>
        <v>0</v>
      </c>
      <c r="P25" s="4"/>
      <c r="R25" s="1"/>
      <c r="S25" s="1"/>
      <c r="T25" s="1"/>
      <c r="U25" s="1"/>
    </row>
    <row r="26" spans="2:21">
      <c r="B26" t="str">
        <f t="shared" si="0"/>
        <v/>
      </c>
      <c r="C26" s="155">
        <f>IF(D11="","-",+C25+1)</f>
        <v>2022</v>
      </c>
      <c r="D26" s="164">
        <f>IF(F25+SUM(E$17:E25)=D$10,F25,D$10-SUM(E$17:E25))</f>
        <v>23860753.562638242</v>
      </c>
      <c r="E26" s="162">
        <f>IF(+I14&lt;F25,I14,D26)</f>
        <v>709109.54353113449</v>
      </c>
      <c r="F26" s="161">
        <f t="shared" si="7"/>
        <v>23151644.019107107</v>
      </c>
      <c r="G26" s="163">
        <f t="shared" si="8"/>
        <v>3470876.9797085728</v>
      </c>
      <c r="H26" s="145">
        <f t="shared" si="9"/>
        <v>3470876.9797085728</v>
      </c>
      <c r="I26" s="158">
        <f t="shared" si="6"/>
        <v>0</v>
      </c>
      <c r="J26" s="158"/>
      <c r="K26" s="316"/>
      <c r="L26" s="160">
        <f t="shared" si="2"/>
        <v>0</v>
      </c>
      <c r="M26" s="316"/>
      <c r="N26" s="160">
        <f t="shared" si="4"/>
        <v>0</v>
      </c>
      <c r="O26" s="160">
        <f t="shared" si="5"/>
        <v>0</v>
      </c>
      <c r="P26" s="4"/>
      <c r="R26" s="1"/>
      <c r="S26" s="1"/>
      <c r="T26" s="1"/>
      <c r="U26" s="1"/>
    </row>
    <row r="27" spans="2:21">
      <c r="B27" t="str">
        <f t="shared" si="0"/>
        <v/>
      </c>
      <c r="C27" s="155">
        <f>IF(D11="","-",+C26+1)</f>
        <v>2023</v>
      </c>
      <c r="D27" s="164">
        <f>IF(F26+SUM(E$17:E26)=D$10,F26,D$10-SUM(E$17:E26))</f>
        <v>23151644.019107107</v>
      </c>
      <c r="E27" s="162">
        <f>IF(+I14&lt;F26,I14,D27)</f>
        <v>709109.54353113449</v>
      </c>
      <c r="F27" s="161">
        <f t="shared" si="7"/>
        <v>22442534.475575972</v>
      </c>
      <c r="G27" s="163">
        <f t="shared" si="8"/>
        <v>3387562.9712025542</v>
      </c>
      <c r="H27" s="145">
        <f t="shared" si="9"/>
        <v>3387562.9712025542</v>
      </c>
      <c r="I27" s="158">
        <f t="shared" si="6"/>
        <v>0</v>
      </c>
      <c r="J27" s="158"/>
      <c r="K27" s="316"/>
      <c r="L27" s="160">
        <f t="shared" si="2"/>
        <v>0</v>
      </c>
      <c r="M27" s="316"/>
      <c r="N27" s="160">
        <f t="shared" si="4"/>
        <v>0</v>
      </c>
      <c r="O27" s="160">
        <f t="shared" si="5"/>
        <v>0</v>
      </c>
      <c r="P27" s="4"/>
      <c r="R27" s="1"/>
      <c r="S27" s="1"/>
      <c r="T27" s="1"/>
      <c r="U27" s="1"/>
    </row>
    <row r="28" spans="2:21">
      <c r="B28" t="str">
        <f t="shared" si="0"/>
        <v/>
      </c>
      <c r="C28" s="155">
        <f>IF(D11="","-",+C27+1)</f>
        <v>2024</v>
      </c>
      <c r="D28" s="164">
        <f>IF(F27+SUM(E$17:E27)=D$10,F27,D$10-SUM(E$17:E27))</f>
        <v>22442534.475575972</v>
      </c>
      <c r="E28" s="162">
        <f>IF(+I14&lt;F27,I14,D28)</f>
        <v>709109.54353113449</v>
      </c>
      <c r="F28" s="161">
        <f t="shared" si="7"/>
        <v>21733424.932044838</v>
      </c>
      <c r="G28" s="163">
        <f t="shared" si="8"/>
        <v>3304248.9626965346</v>
      </c>
      <c r="H28" s="145">
        <f t="shared" si="9"/>
        <v>3304248.9626965346</v>
      </c>
      <c r="I28" s="158">
        <f t="shared" si="6"/>
        <v>0</v>
      </c>
      <c r="J28" s="158"/>
      <c r="K28" s="316"/>
      <c r="L28" s="160">
        <f t="shared" si="2"/>
        <v>0</v>
      </c>
      <c r="M28" s="316"/>
      <c r="N28" s="160">
        <f t="shared" si="4"/>
        <v>0</v>
      </c>
      <c r="O28" s="160">
        <f t="shared" si="5"/>
        <v>0</v>
      </c>
      <c r="P28" s="4"/>
      <c r="R28" s="1"/>
      <c r="S28" s="1"/>
      <c r="T28" s="1"/>
      <c r="U28" s="1"/>
    </row>
    <row r="29" spans="2:21">
      <c r="B29" t="str">
        <f t="shared" si="0"/>
        <v/>
      </c>
      <c r="C29" s="155">
        <f>IF(D11="","-",+C28+1)</f>
        <v>2025</v>
      </c>
      <c r="D29" s="164">
        <f>IF(F28+SUM(E$17:E28)=D$10,F28,D$10-SUM(E$17:E28))</f>
        <v>21733424.932044838</v>
      </c>
      <c r="E29" s="162">
        <f>IF(+I14&lt;F28,I14,D29)</f>
        <v>709109.54353113449</v>
      </c>
      <c r="F29" s="161">
        <f t="shared" si="7"/>
        <v>21024315.388513703</v>
      </c>
      <c r="G29" s="163">
        <f t="shared" si="8"/>
        <v>3220934.9541905159</v>
      </c>
      <c r="H29" s="145">
        <f t="shared" si="9"/>
        <v>3220934.9541905159</v>
      </c>
      <c r="I29" s="158">
        <f t="shared" si="6"/>
        <v>0</v>
      </c>
      <c r="J29" s="158"/>
      <c r="K29" s="316"/>
      <c r="L29" s="160">
        <f t="shared" si="2"/>
        <v>0</v>
      </c>
      <c r="M29" s="316"/>
      <c r="N29" s="160">
        <f t="shared" si="4"/>
        <v>0</v>
      </c>
      <c r="O29" s="160">
        <f t="shared" si="5"/>
        <v>0</v>
      </c>
      <c r="P29" s="4"/>
      <c r="R29" s="1"/>
      <c r="S29" s="1"/>
      <c r="T29" s="1"/>
      <c r="U29" s="1"/>
    </row>
    <row r="30" spans="2:21">
      <c r="B30" t="str">
        <f t="shared" si="0"/>
        <v/>
      </c>
      <c r="C30" s="155">
        <f>IF(D11="","-",+C29+1)</f>
        <v>2026</v>
      </c>
      <c r="D30" s="164">
        <f>IF(F29+SUM(E$17:E29)=D$10,F29,D$10-SUM(E$17:E29))</f>
        <v>21024315.388513703</v>
      </c>
      <c r="E30" s="162">
        <f>IF(+I14&lt;F29,I14,D30)</f>
        <v>709109.54353113449</v>
      </c>
      <c r="F30" s="161">
        <f t="shared" si="7"/>
        <v>20315205.844982568</v>
      </c>
      <c r="G30" s="163">
        <f t="shared" si="8"/>
        <v>3137620.9456844972</v>
      </c>
      <c r="H30" s="145">
        <f t="shared" si="9"/>
        <v>3137620.9456844972</v>
      </c>
      <c r="I30" s="158">
        <f t="shared" si="6"/>
        <v>0</v>
      </c>
      <c r="J30" s="158"/>
      <c r="K30" s="316"/>
      <c r="L30" s="160">
        <f t="shared" si="2"/>
        <v>0</v>
      </c>
      <c r="M30" s="316"/>
      <c r="N30" s="160">
        <f t="shared" si="4"/>
        <v>0</v>
      </c>
      <c r="O30" s="160">
        <f t="shared" si="5"/>
        <v>0</v>
      </c>
      <c r="P30" s="4"/>
      <c r="R30" s="1"/>
      <c r="S30" s="1"/>
      <c r="T30" s="1"/>
      <c r="U30" s="1"/>
    </row>
    <row r="31" spans="2:21">
      <c r="B31" t="str">
        <f t="shared" si="0"/>
        <v/>
      </c>
      <c r="C31" s="155">
        <f>IF(D11="","-",+C30+1)</f>
        <v>2027</v>
      </c>
      <c r="D31" s="164">
        <f>IF(F30+SUM(E$17:E30)=D$10,F30,D$10-SUM(E$17:E30))</f>
        <v>20315205.844982568</v>
      </c>
      <c r="E31" s="162">
        <f>IF(+I14&lt;F30,I14,D31)</f>
        <v>709109.54353113449</v>
      </c>
      <c r="F31" s="161">
        <f t="shared" si="7"/>
        <v>19606096.301451433</v>
      </c>
      <c r="G31" s="163">
        <f t="shared" si="8"/>
        <v>3054306.9371784786</v>
      </c>
      <c r="H31" s="145">
        <f t="shared" si="9"/>
        <v>3054306.9371784786</v>
      </c>
      <c r="I31" s="158">
        <f t="shared" si="6"/>
        <v>0</v>
      </c>
      <c r="J31" s="158"/>
      <c r="K31" s="316"/>
      <c r="L31" s="160">
        <f t="shared" si="2"/>
        <v>0</v>
      </c>
      <c r="M31" s="316"/>
      <c r="N31" s="160">
        <f t="shared" si="4"/>
        <v>0</v>
      </c>
      <c r="O31" s="160">
        <f t="shared" si="5"/>
        <v>0</v>
      </c>
      <c r="P31" s="4"/>
      <c r="Q31" s="7"/>
      <c r="R31" s="4"/>
      <c r="S31" s="4"/>
      <c r="T31" s="4"/>
      <c r="U31" s="1"/>
    </row>
    <row r="32" spans="2:21">
      <c r="B32" t="str">
        <f t="shared" si="0"/>
        <v/>
      </c>
      <c r="C32" s="155">
        <f>IF(D12="","-",+C31+1)</f>
        <v>2028</v>
      </c>
      <c r="D32" s="164">
        <f>IF(F31+SUM(E$17:E31)=D$10,F31,D$10-SUM(E$17:E31))</f>
        <v>19606096.301451433</v>
      </c>
      <c r="E32" s="162">
        <f>IF(+I14&lt;F31,I14,D32)</f>
        <v>709109.54353113449</v>
      </c>
      <c r="F32" s="161">
        <f>+D32-E32</f>
        <v>18896986.757920299</v>
      </c>
      <c r="G32" s="163">
        <f t="shared" si="8"/>
        <v>2970992.9286724599</v>
      </c>
      <c r="H32" s="145">
        <f t="shared" si="9"/>
        <v>2970992.9286724599</v>
      </c>
      <c r="I32" s="158">
        <f>H32-G32</f>
        <v>0</v>
      </c>
      <c r="J32" s="158"/>
      <c r="K32" s="316"/>
      <c r="L32" s="160">
        <f>IF(K32&lt;&gt;0,+G32-K32,0)</f>
        <v>0</v>
      </c>
      <c r="M32" s="316"/>
      <c r="N32" s="160">
        <f>IF(M32&lt;&gt;0,+H32-M32,0)</f>
        <v>0</v>
      </c>
      <c r="O32" s="160">
        <f>+N32-L32</f>
        <v>0</v>
      </c>
      <c r="P32" s="4"/>
      <c r="Q32" s="7"/>
      <c r="R32" s="4"/>
      <c r="S32" s="4"/>
      <c r="T32" s="4"/>
      <c r="U32" s="1"/>
    </row>
    <row r="33" spans="2:21">
      <c r="B33" t="str">
        <f t="shared" si="0"/>
        <v/>
      </c>
      <c r="C33" s="155">
        <f>IF(D13="","-",+C32+1)</f>
        <v>2029</v>
      </c>
      <c r="D33" s="164">
        <f>IF(F32+SUM(E$17:E32)=D$10,F32,D$10-SUM(E$17:E32))</f>
        <v>18896986.757920299</v>
      </c>
      <c r="E33" s="162">
        <f>IF(+I14&lt;F31,I14,D33)</f>
        <v>709109.54353113449</v>
      </c>
      <c r="F33" s="161">
        <f t="shared" si="7"/>
        <v>18187877.214389164</v>
      </c>
      <c r="G33" s="163">
        <f t="shared" si="8"/>
        <v>2887678.9201664412</v>
      </c>
      <c r="H33" s="145">
        <f t="shared" si="9"/>
        <v>2887678.9201664412</v>
      </c>
      <c r="I33" s="158">
        <f t="shared" si="6"/>
        <v>0</v>
      </c>
      <c r="J33" s="158"/>
      <c r="K33" s="316"/>
      <c r="L33" s="160">
        <f t="shared" si="2"/>
        <v>0</v>
      </c>
      <c r="M33" s="316"/>
      <c r="N33" s="160">
        <f t="shared" si="4"/>
        <v>0</v>
      </c>
      <c r="O33" s="160">
        <f t="shared" si="5"/>
        <v>0</v>
      </c>
      <c r="P33" s="4"/>
      <c r="R33" s="1"/>
      <c r="S33" s="1"/>
      <c r="T33" s="1"/>
      <c r="U33" s="1"/>
    </row>
    <row r="34" spans="2:21">
      <c r="B34" t="str">
        <f t="shared" si="0"/>
        <v/>
      </c>
      <c r="C34" s="422">
        <f>IF(D11="","-",+C33+1)</f>
        <v>2030</v>
      </c>
      <c r="D34" s="431">
        <f>IF(F33+SUM(E$17:E33)=D$10,F33,D$10-SUM(E$17:E33))</f>
        <v>18187877.214389164</v>
      </c>
      <c r="E34" s="424">
        <f>IF(+I14&lt;F33,I14,D34)</f>
        <v>709109.54353113449</v>
      </c>
      <c r="F34" s="423">
        <f t="shared" si="7"/>
        <v>17478767.670858029</v>
      </c>
      <c r="G34" s="425">
        <f t="shared" si="8"/>
        <v>2804364.9116604221</v>
      </c>
      <c r="H34" s="426">
        <f t="shared" si="9"/>
        <v>2804364.9116604221</v>
      </c>
      <c r="I34" s="427">
        <f t="shared" si="6"/>
        <v>0</v>
      </c>
      <c r="J34" s="427"/>
      <c r="K34" s="428"/>
      <c r="L34" s="429">
        <f t="shared" si="2"/>
        <v>0</v>
      </c>
      <c r="M34" s="428"/>
      <c r="N34" s="429">
        <f t="shared" si="4"/>
        <v>0</v>
      </c>
      <c r="O34" s="429">
        <f t="shared" si="5"/>
        <v>0</v>
      </c>
      <c r="P34" s="430"/>
      <c r="Q34" s="290"/>
      <c r="R34" s="430"/>
      <c r="S34" s="430"/>
      <c r="T34" s="430"/>
      <c r="U34" s="1"/>
    </row>
    <row r="35" spans="2:21">
      <c r="B35" t="str">
        <f t="shared" si="0"/>
        <v/>
      </c>
      <c r="C35" s="155">
        <f>IF(D11="","-",+C34+1)</f>
        <v>2031</v>
      </c>
      <c r="D35" s="164">
        <f>IF(F34+SUM(E$17:E34)=D$10,F34,D$10-SUM(E$17:E34))</f>
        <v>17478767.670858029</v>
      </c>
      <c r="E35" s="162">
        <f>IF(+I14&lt;F34,I14,D35)</f>
        <v>709109.54353113449</v>
      </c>
      <c r="F35" s="161">
        <f t="shared" si="7"/>
        <v>16769658.127326895</v>
      </c>
      <c r="G35" s="163">
        <f t="shared" si="8"/>
        <v>2721050.903154403</v>
      </c>
      <c r="H35" s="145">
        <f t="shared" si="9"/>
        <v>2721050.903154403</v>
      </c>
      <c r="I35" s="158">
        <f t="shared" si="6"/>
        <v>0</v>
      </c>
      <c r="J35" s="158"/>
      <c r="K35" s="316"/>
      <c r="L35" s="160">
        <f t="shared" si="2"/>
        <v>0</v>
      </c>
      <c r="M35" s="316"/>
      <c r="N35" s="160">
        <f t="shared" si="4"/>
        <v>0</v>
      </c>
      <c r="O35" s="160">
        <f t="shared" si="5"/>
        <v>0</v>
      </c>
      <c r="P35" s="4"/>
      <c r="R35" s="1"/>
      <c r="S35" s="1"/>
      <c r="T35" s="1"/>
      <c r="U35" s="1"/>
    </row>
    <row r="36" spans="2:21">
      <c r="B36" t="str">
        <f t="shared" si="0"/>
        <v/>
      </c>
      <c r="C36" s="155">
        <f>IF(D11="","-",+C35+1)</f>
        <v>2032</v>
      </c>
      <c r="D36" s="164">
        <f>IF(F35+SUM(E$17:E35)=D$10,F35,D$10-SUM(E$17:E35))</f>
        <v>16769658.127326895</v>
      </c>
      <c r="E36" s="162">
        <f>IF(+I14&lt;F35,I14,D36)</f>
        <v>709109.54353113449</v>
      </c>
      <c r="F36" s="161">
        <f t="shared" si="7"/>
        <v>16060548.58379576</v>
      </c>
      <c r="G36" s="163">
        <f t="shared" si="8"/>
        <v>2637736.8946483843</v>
      </c>
      <c r="H36" s="145">
        <f t="shared" si="9"/>
        <v>2637736.8946483843</v>
      </c>
      <c r="I36" s="158">
        <f t="shared" si="6"/>
        <v>0</v>
      </c>
      <c r="J36" s="158"/>
      <c r="K36" s="316"/>
      <c r="L36" s="160">
        <f t="shared" si="2"/>
        <v>0</v>
      </c>
      <c r="M36" s="316"/>
      <c r="N36" s="160">
        <f t="shared" si="4"/>
        <v>0</v>
      </c>
      <c r="O36" s="160">
        <f t="shared" si="5"/>
        <v>0</v>
      </c>
      <c r="P36" s="4"/>
      <c r="R36" s="1"/>
      <c r="S36" s="1"/>
      <c r="T36" s="1"/>
      <c r="U36" s="1"/>
    </row>
    <row r="37" spans="2:21">
      <c r="B37" t="str">
        <f t="shared" si="0"/>
        <v/>
      </c>
      <c r="C37" s="155">
        <f>IF(D11="","-",+C36+1)</f>
        <v>2033</v>
      </c>
      <c r="D37" s="164">
        <f>IF(F36+SUM(E$17:E36)=D$10,F36,D$10-SUM(E$17:E36))</f>
        <v>16060548.58379576</v>
      </c>
      <c r="E37" s="162">
        <f>IF(+I14&lt;F36,I14,D37)</f>
        <v>709109.54353113449</v>
      </c>
      <c r="F37" s="161">
        <f t="shared" si="7"/>
        <v>15351439.040264625</v>
      </c>
      <c r="G37" s="163">
        <f t="shared" si="8"/>
        <v>2554422.8861423656</v>
      </c>
      <c r="H37" s="145">
        <f t="shared" si="9"/>
        <v>2554422.8861423656</v>
      </c>
      <c r="I37" s="158">
        <f t="shared" si="6"/>
        <v>0</v>
      </c>
      <c r="J37" s="158"/>
      <c r="K37" s="316"/>
      <c r="L37" s="160">
        <f t="shared" si="2"/>
        <v>0</v>
      </c>
      <c r="M37" s="316"/>
      <c r="N37" s="160">
        <f t="shared" si="4"/>
        <v>0</v>
      </c>
      <c r="O37" s="160">
        <f t="shared" si="5"/>
        <v>0</v>
      </c>
      <c r="P37" s="4"/>
      <c r="R37" s="1"/>
      <c r="S37" s="1"/>
      <c r="T37" s="1"/>
      <c r="U37" s="1"/>
    </row>
    <row r="38" spans="2:21">
      <c r="B38" t="str">
        <f t="shared" si="0"/>
        <v/>
      </c>
      <c r="C38" s="155">
        <f>IF(D11="","-",+C37+1)</f>
        <v>2034</v>
      </c>
      <c r="D38" s="164">
        <f>IF(F37+SUM(E$17:E37)=D$10,F37,D$10-SUM(E$17:E37))</f>
        <v>15351439.040264625</v>
      </c>
      <c r="E38" s="162">
        <f>IF(+I14&lt;F37,I14,D38)</f>
        <v>709109.54353113449</v>
      </c>
      <c r="F38" s="161">
        <f t="shared" si="7"/>
        <v>14642329.49673349</v>
      </c>
      <c r="G38" s="163">
        <f t="shared" si="8"/>
        <v>2471108.877636347</v>
      </c>
      <c r="H38" s="145">
        <f t="shared" si="9"/>
        <v>2471108.877636347</v>
      </c>
      <c r="I38" s="158">
        <f t="shared" si="6"/>
        <v>0</v>
      </c>
      <c r="J38" s="158"/>
      <c r="K38" s="316"/>
      <c r="L38" s="160">
        <f t="shared" si="2"/>
        <v>0</v>
      </c>
      <c r="M38" s="316"/>
      <c r="N38" s="160">
        <f t="shared" si="4"/>
        <v>0</v>
      </c>
      <c r="O38" s="160">
        <f t="shared" si="5"/>
        <v>0</v>
      </c>
      <c r="P38" s="4"/>
      <c r="R38" s="1"/>
      <c r="S38" s="1"/>
      <c r="T38" s="1"/>
      <c r="U38" s="1"/>
    </row>
    <row r="39" spans="2:21">
      <c r="B39" t="str">
        <f t="shared" si="0"/>
        <v/>
      </c>
      <c r="C39" s="155">
        <f>IF(D11="","-",+C38+1)</f>
        <v>2035</v>
      </c>
      <c r="D39" s="164">
        <f>IF(F38+SUM(E$17:E38)=D$10,F38,D$10-SUM(E$17:E38))</f>
        <v>14642329.49673349</v>
      </c>
      <c r="E39" s="162">
        <f>IF(+I14&lt;F38,I14,D39)</f>
        <v>709109.54353113449</v>
      </c>
      <c r="F39" s="161">
        <f t="shared" si="7"/>
        <v>13933219.953202356</v>
      </c>
      <c r="G39" s="163">
        <f t="shared" si="8"/>
        <v>2387794.8691303278</v>
      </c>
      <c r="H39" s="145">
        <f t="shared" si="9"/>
        <v>2387794.8691303278</v>
      </c>
      <c r="I39" s="158">
        <f t="shared" si="6"/>
        <v>0</v>
      </c>
      <c r="J39" s="158"/>
      <c r="K39" s="316"/>
      <c r="L39" s="160">
        <f t="shared" si="2"/>
        <v>0</v>
      </c>
      <c r="M39" s="316"/>
      <c r="N39" s="160">
        <f t="shared" si="4"/>
        <v>0</v>
      </c>
      <c r="O39" s="160">
        <f t="shared" si="5"/>
        <v>0</v>
      </c>
      <c r="P39" s="4"/>
      <c r="R39" s="1"/>
      <c r="S39" s="1"/>
      <c r="T39" s="1"/>
      <c r="U39" s="1"/>
    </row>
    <row r="40" spans="2:21">
      <c r="B40" t="str">
        <f t="shared" si="0"/>
        <v/>
      </c>
      <c r="C40" s="155">
        <f>IF(D11="","-",+C39+1)</f>
        <v>2036</v>
      </c>
      <c r="D40" s="164">
        <f>IF(F39+SUM(E$17:E39)=D$10,F39,D$10-SUM(E$17:E39))</f>
        <v>13933219.953202356</v>
      </c>
      <c r="E40" s="162">
        <f>IF(+I14&lt;F39,I14,D40)</f>
        <v>709109.54353113449</v>
      </c>
      <c r="F40" s="161">
        <f t="shared" si="7"/>
        <v>13224110.409671221</v>
      </c>
      <c r="G40" s="163">
        <f t="shared" si="8"/>
        <v>2304480.8606243092</v>
      </c>
      <c r="H40" s="145">
        <f t="shared" si="9"/>
        <v>2304480.8606243092</v>
      </c>
      <c r="I40" s="158">
        <f t="shared" si="6"/>
        <v>0</v>
      </c>
      <c r="J40" s="158"/>
      <c r="K40" s="316"/>
      <c r="L40" s="160">
        <f t="shared" si="2"/>
        <v>0</v>
      </c>
      <c r="M40" s="316"/>
      <c r="N40" s="160">
        <f t="shared" si="4"/>
        <v>0</v>
      </c>
      <c r="O40" s="160">
        <f t="shared" si="5"/>
        <v>0</v>
      </c>
      <c r="P40" s="4"/>
      <c r="R40" s="1"/>
      <c r="S40" s="1"/>
      <c r="T40" s="1"/>
      <c r="U40" s="1"/>
    </row>
    <row r="41" spans="2:21">
      <c r="B41" t="str">
        <f t="shared" si="0"/>
        <v/>
      </c>
      <c r="C41" s="155">
        <f>IF(D12="","-",+C40+1)</f>
        <v>2037</v>
      </c>
      <c r="D41" s="164">
        <f>IF(F40+SUM(E$17:E40)=D$10,F40,D$10-SUM(E$17:E40))</f>
        <v>13224110.409671221</v>
      </c>
      <c r="E41" s="162">
        <f>IF(+I14&lt;F40,I14,D41)</f>
        <v>709109.54353113449</v>
      </c>
      <c r="F41" s="161">
        <f t="shared" si="7"/>
        <v>12515000.866140086</v>
      </c>
      <c r="G41" s="163">
        <f t="shared" si="8"/>
        <v>2221166.85211829</v>
      </c>
      <c r="H41" s="145">
        <f t="shared" si="9"/>
        <v>2221166.85211829</v>
      </c>
      <c r="I41" s="158">
        <f t="shared" si="6"/>
        <v>0</v>
      </c>
      <c r="J41" s="158"/>
      <c r="K41" s="316"/>
      <c r="L41" s="160">
        <f t="shared" si="2"/>
        <v>0</v>
      </c>
      <c r="M41" s="316"/>
      <c r="N41" s="160">
        <f t="shared" si="4"/>
        <v>0</v>
      </c>
      <c r="O41" s="160">
        <f t="shared" si="5"/>
        <v>0</v>
      </c>
      <c r="P41" s="4"/>
      <c r="R41" s="1"/>
      <c r="S41" s="1"/>
      <c r="T41" s="1"/>
      <c r="U41" s="1"/>
    </row>
    <row r="42" spans="2:21">
      <c r="B42" t="str">
        <f t="shared" si="0"/>
        <v/>
      </c>
      <c r="C42" s="155">
        <f>IF(D13="","-",+C41+1)</f>
        <v>2038</v>
      </c>
      <c r="D42" s="164">
        <f>IF(F41+SUM(E$17:E41)=D$10,F41,D$10-SUM(E$17:E41))</f>
        <v>12515000.866140086</v>
      </c>
      <c r="E42" s="162">
        <f>IF(+I14&lt;F41,I14,D42)</f>
        <v>709109.54353113449</v>
      </c>
      <c r="F42" s="161">
        <f t="shared" si="7"/>
        <v>11805891.322608951</v>
      </c>
      <c r="G42" s="163">
        <f t="shared" si="8"/>
        <v>2137852.8436122714</v>
      </c>
      <c r="H42" s="145">
        <f t="shared" si="9"/>
        <v>2137852.8436122714</v>
      </c>
      <c r="I42" s="158">
        <f t="shared" si="6"/>
        <v>0</v>
      </c>
      <c r="J42" s="158"/>
      <c r="K42" s="316"/>
      <c r="L42" s="160">
        <f t="shared" si="2"/>
        <v>0</v>
      </c>
      <c r="M42" s="316"/>
      <c r="N42" s="160">
        <f t="shared" si="4"/>
        <v>0</v>
      </c>
      <c r="O42" s="160">
        <f t="shared" si="5"/>
        <v>0</v>
      </c>
      <c r="P42" s="4"/>
      <c r="R42" s="1"/>
      <c r="S42" s="1"/>
      <c r="T42" s="1"/>
      <c r="U42" s="1"/>
    </row>
    <row r="43" spans="2:21">
      <c r="B43" t="str">
        <f t="shared" si="0"/>
        <v/>
      </c>
      <c r="C43" s="155">
        <f>IF(D11="","-",+C42+1)</f>
        <v>2039</v>
      </c>
      <c r="D43" s="164">
        <f>IF(F42+SUM(E$17:E42)=D$10,F42,D$10-SUM(E$17:E42))</f>
        <v>11805891.322608951</v>
      </c>
      <c r="E43" s="162">
        <f>IF(+I14&lt;F42,I14,D43)</f>
        <v>709109.54353113449</v>
      </c>
      <c r="F43" s="161">
        <f t="shared" si="7"/>
        <v>11096781.779077817</v>
      </c>
      <c r="G43" s="163">
        <f t="shared" si="8"/>
        <v>2054538.8351062527</v>
      </c>
      <c r="H43" s="145">
        <f t="shared" si="9"/>
        <v>2054538.8351062527</v>
      </c>
      <c r="I43" s="158">
        <f t="shared" si="6"/>
        <v>0</v>
      </c>
      <c r="J43" s="158"/>
      <c r="K43" s="316"/>
      <c r="L43" s="160">
        <f t="shared" si="2"/>
        <v>0</v>
      </c>
      <c r="M43" s="316"/>
      <c r="N43" s="160">
        <f t="shared" si="4"/>
        <v>0</v>
      </c>
      <c r="O43" s="160">
        <f t="shared" si="5"/>
        <v>0</v>
      </c>
      <c r="P43" s="4"/>
      <c r="R43" s="1"/>
      <c r="S43" s="1"/>
      <c r="T43" s="1"/>
      <c r="U43" s="1"/>
    </row>
    <row r="44" spans="2:21">
      <c r="B44" t="str">
        <f t="shared" si="0"/>
        <v/>
      </c>
      <c r="C44" s="155">
        <f>IF(D11="","-",+C43+1)</f>
        <v>2040</v>
      </c>
      <c r="D44" s="164">
        <f>IF(F43+SUM(E$17:E43)=D$10,F43,D$10-SUM(E$17:E43))</f>
        <v>11096781.779077817</v>
      </c>
      <c r="E44" s="162">
        <f>IF(+I14&lt;F43,I14,D44)</f>
        <v>709109.54353113449</v>
      </c>
      <c r="F44" s="161">
        <f t="shared" si="7"/>
        <v>10387672.235546682</v>
      </c>
      <c r="G44" s="163">
        <f t="shared" si="8"/>
        <v>1971224.8266002338</v>
      </c>
      <c r="H44" s="145">
        <f t="shared" si="9"/>
        <v>1971224.8266002338</v>
      </c>
      <c r="I44" s="158">
        <f t="shared" si="6"/>
        <v>0</v>
      </c>
      <c r="J44" s="158"/>
      <c r="K44" s="316"/>
      <c r="L44" s="160">
        <f t="shared" si="2"/>
        <v>0</v>
      </c>
      <c r="M44" s="316"/>
      <c r="N44" s="160">
        <f t="shared" si="4"/>
        <v>0</v>
      </c>
      <c r="O44" s="160">
        <f t="shared" si="5"/>
        <v>0</v>
      </c>
      <c r="P44" s="4"/>
      <c r="R44" s="1"/>
      <c r="S44" s="1"/>
      <c r="T44" s="1"/>
      <c r="U44" s="1"/>
    </row>
    <row r="45" spans="2:21">
      <c r="B45" t="str">
        <f t="shared" si="0"/>
        <v/>
      </c>
      <c r="C45" s="155">
        <f>IF(D11="","-",+C44+1)</f>
        <v>2041</v>
      </c>
      <c r="D45" s="164">
        <f>IF(F44+SUM(E$17:E44)=D$10,F44,D$10-SUM(E$17:E44))</f>
        <v>10387672.235546682</v>
      </c>
      <c r="E45" s="162">
        <f>IF(+I14&lt;F44,I14,D45)</f>
        <v>709109.54353113449</v>
      </c>
      <c r="F45" s="161">
        <f t="shared" si="7"/>
        <v>9678562.6920155473</v>
      </c>
      <c r="G45" s="163">
        <f t="shared" si="8"/>
        <v>1887910.8180942149</v>
      </c>
      <c r="H45" s="145">
        <f t="shared" si="9"/>
        <v>1887910.8180942149</v>
      </c>
      <c r="I45" s="158">
        <f t="shared" si="6"/>
        <v>0</v>
      </c>
      <c r="J45" s="158"/>
      <c r="K45" s="316"/>
      <c r="L45" s="160">
        <f t="shared" si="2"/>
        <v>0</v>
      </c>
      <c r="M45" s="316"/>
      <c r="N45" s="160">
        <f t="shared" si="4"/>
        <v>0</v>
      </c>
      <c r="O45" s="160">
        <f t="shared" si="5"/>
        <v>0</v>
      </c>
      <c r="P45" s="4"/>
      <c r="R45" s="1"/>
      <c r="S45" s="1"/>
      <c r="T45" s="1"/>
      <c r="U45" s="1"/>
    </row>
    <row r="46" spans="2:21">
      <c r="B46" t="str">
        <f t="shared" si="0"/>
        <v/>
      </c>
      <c r="C46" s="155">
        <f>IF(D11="","-",+C45+1)</f>
        <v>2042</v>
      </c>
      <c r="D46" s="164">
        <f>IF(F45+SUM(E$17:E45)=D$10,F45,D$10-SUM(E$17:E45))</f>
        <v>9678562.6920155473</v>
      </c>
      <c r="E46" s="162">
        <f>IF(+I14&lt;F45,I14,D46)</f>
        <v>709109.54353113449</v>
      </c>
      <c r="F46" s="161">
        <f t="shared" si="7"/>
        <v>8969453.1484844126</v>
      </c>
      <c r="G46" s="163">
        <f t="shared" si="8"/>
        <v>1804596.8095881962</v>
      </c>
      <c r="H46" s="145">
        <f t="shared" si="9"/>
        <v>1804596.8095881962</v>
      </c>
      <c r="I46" s="158">
        <f t="shared" si="6"/>
        <v>0</v>
      </c>
      <c r="J46" s="158"/>
      <c r="K46" s="316"/>
      <c r="L46" s="160">
        <f t="shared" si="2"/>
        <v>0</v>
      </c>
      <c r="M46" s="316"/>
      <c r="N46" s="160">
        <f t="shared" si="4"/>
        <v>0</v>
      </c>
      <c r="O46" s="160">
        <f t="shared" si="5"/>
        <v>0</v>
      </c>
      <c r="P46" s="4"/>
      <c r="R46" s="1"/>
      <c r="S46" s="1"/>
      <c r="T46" s="1"/>
      <c r="U46" s="1"/>
    </row>
    <row r="47" spans="2:21">
      <c r="B47" t="str">
        <f t="shared" si="0"/>
        <v/>
      </c>
      <c r="C47" s="155">
        <f>IF(D11="","-",+C46+1)</f>
        <v>2043</v>
      </c>
      <c r="D47" s="164">
        <f>IF(F46+SUM(E$17:E46)=D$10,F46,D$10-SUM(E$17:E46))</f>
        <v>8969453.1484844126</v>
      </c>
      <c r="E47" s="162">
        <f>IF(+I14&lt;F46,I14,D47)</f>
        <v>709109.54353113449</v>
      </c>
      <c r="F47" s="161">
        <f t="shared" si="7"/>
        <v>8260343.6049532779</v>
      </c>
      <c r="G47" s="163">
        <f t="shared" si="8"/>
        <v>1721282.8010821773</v>
      </c>
      <c r="H47" s="145">
        <f t="shared" si="9"/>
        <v>1721282.8010821773</v>
      </c>
      <c r="I47" s="158">
        <f t="shared" si="6"/>
        <v>0</v>
      </c>
      <c r="J47" s="158"/>
      <c r="K47" s="316"/>
      <c r="L47" s="160">
        <f t="shared" si="2"/>
        <v>0</v>
      </c>
      <c r="M47" s="316"/>
      <c r="N47" s="160">
        <f t="shared" si="4"/>
        <v>0</v>
      </c>
      <c r="O47" s="160">
        <f t="shared" si="5"/>
        <v>0</v>
      </c>
      <c r="P47" s="4"/>
      <c r="R47" s="1"/>
      <c r="S47" s="1"/>
      <c r="T47" s="1"/>
      <c r="U47" s="1"/>
    </row>
    <row r="48" spans="2:21">
      <c r="B48" t="str">
        <f t="shared" si="0"/>
        <v/>
      </c>
      <c r="C48" s="155">
        <f>IF(D11="","-",+C47+1)</f>
        <v>2044</v>
      </c>
      <c r="D48" s="164">
        <f>IF(F47+SUM(E$17:E47)=D$10,F47,D$10-SUM(E$17:E47))</f>
        <v>8260343.6049532779</v>
      </c>
      <c r="E48" s="162">
        <f>IF(+I14&lt;F47,I14,D48)</f>
        <v>709109.54353113449</v>
      </c>
      <c r="F48" s="161">
        <f t="shared" si="7"/>
        <v>7551234.0614221431</v>
      </c>
      <c r="G48" s="163">
        <f t="shared" si="8"/>
        <v>1637968.7925761584</v>
      </c>
      <c r="H48" s="145">
        <f t="shared" si="9"/>
        <v>1637968.7925761584</v>
      </c>
      <c r="I48" s="158">
        <f t="shared" si="6"/>
        <v>0</v>
      </c>
      <c r="J48" s="158"/>
      <c r="K48" s="316"/>
      <c r="L48" s="160">
        <f t="shared" si="2"/>
        <v>0</v>
      </c>
      <c r="M48" s="316"/>
      <c r="N48" s="160">
        <f t="shared" si="4"/>
        <v>0</v>
      </c>
      <c r="O48" s="160">
        <f t="shared" si="5"/>
        <v>0</v>
      </c>
      <c r="P48" s="4"/>
      <c r="R48" s="1"/>
      <c r="S48" s="1"/>
      <c r="T48" s="1"/>
      <c r="U48" s="1"/>
    </row>
    <row r="49" spans="2:21">
      <c r="B49" t="str">
        <f t="shared" si="0"/>
        <v/>
      </c>
      <c r="C49" s="155">
        <f>IF(D11="","-",+C48+1)</f>
        <v>2045</v>
      </c>
      <c r="D49" s="164">
        <f>IF(F48+SUM(E$17:E48)=D$10,F48,D$10-SUM(E$17:E48))</f>
        <v>7551234.0614221431</v>
      </c>
      <c r="E49" s="162">
        <f>IF(+I14&lt;F48,I14,D49)</f>
        <v>709109.54353113449</v>
      </c>
      <c r="F49" s="161">
        <f t="shared" si="7"/>
        <v>6842124.5178910084</v>
      </c>
      <c r="G49" s="163">
        <f t="shared" si="8"/>
        <v>1554654.7840701398</v>
      </c>
      <c r="H49" s="145">
        <f t="shared" si="9"/>
        <v>1554654.7840701398</v>
      </c>
      <c r="I49" s="158">
        <f t="shared" si="6"/>
        <v>0</v>
      </c>
      <c r="J49" s="158"/>
      <c r="K49" s="316"/>
      <c r="L49" s="160">
        <f t="shared" si="2"/>
        <v>0</v>
      </c>
      <c r="M49" s="316"/>
      <c r="N49" s="160">
        <f t="shared" si="4"/>
        <v>0</v>
      </c>
      <c r="O49" s="160">
        <f t="shared" si="5"/>
        <v>0</v>
      </c>
      <c r="P49" s="4"/>
      <c r="R49" s="1"/>
      <c r="S49" s="1"/>
      <c r="T49" s="1"/>
      <c r="U49" s="1"/>
    </row>
    <row r="50" spans="2:21">
      <c r="B50" t="str">
        <f t="shared" ref="B50:B73" si="10">IF(D50=F49,"","IU")</f>
        <v/>
      </c>
      <c r="C50" s="155">
        <f>IF(D11="","-",+C49+1)</f>
        <v>2046</v>
      </c>
      <c r="D50" s="164">
        <f>IF(F49+SUM(E$17:E49)=D$10,F49,D$10-SUM(E$17:E49))</f>
        <v>6842124.5178910084</v>
      </c>
      <c r="E50" s="162">
        <f>IF(+I14&lt;F49,I14,D50)</f>
        <v>709109.54353113449</v>
      </c>
      <c r="F50" s="161">
        <f t="shared" ref="F50:F73" si="11">+D50-E50</f>
        <v>6133014.9743598737</v>
      </c>
      <c r="G50" s="163">
        <f t="shared" si="8"/>
        <v>1471340.7755641208</v>
      </c>
      <c r="H50" s="145">
        <f t="shared" si="9"/>
        <v>1471340.7755641208</v>
      </c>
      <c r="I50" s="158">
        <f t="shared" ref="I50:I73" si="12">H50-G50</f>
        <v>0</v>
      </c>
      <c r="J50" s="158"/>
      <c r="K50" s="316"/>
      <c r="L50" s="160">
        <f t="shared" ref="L50:L73" si="13">IF(K50&lt;&gt;0,+G50-K50,0)</f>
        <v>0</v>
      </c>
      <c r="M50" s="316"/>
      <c r="N50" s="160">
        <f t="shared" ref="N50:N73" si="14">IF(M50&lt;&gt;0,+H50-M50,0)</f>
        <v>0</v>
      </c>
      <c r="O50" s="160">
        <f t="shared" ref="O50:O73" si="15">+N50-L50</f>
        <v>0</v>
      </c>
      <c r="P50" s="4"/>
      <c r="R50" s="1"/>
      <c r="S50" s="1"/>
      <c r="T50" s="1"/>
      <c r="U50" s="1"/>
    </row>
    <row r="51" spans="2:21">
      <c r="B51" t="str">
        <f t="shared" si="10"/>
        <v/>
      </c>
      <c r="C51" s="155">
        <f>IF(D11="","-",+C50+1)</f>
        <v>2047</v>
      </c>
      <c r="D51" s="164">
        <f>IF(F50+SUM(E$17:E50)=D$10,F50,D$10-SUM(E$17:E50))</f>
        <v>6133014.9743598737</v>
      </c>
      <c r="E51" s="162">
        <f>IF(+I14&lt;F50,I14,D51)</f>
        <v>709109.54353113449</v>
      </c>
      <c r="F51" s="161">
        <f t="shared" si="11"/>
        <v>5423905.430828739</v>
      </c>
      <c r="G51" s="163">
        <f t="shared" si="8"/>
        <v>1388026.7670581019</v>
      </c>
      <c r="H51" s="145">
        <f t="shared" si="9"/>
        <v>1388026.7670581019</v>
      </c>
      <c r="I51" s="158">
        <f t="shared" si="12"/>
        <v>0</v>
      </c>
      <c r="J51" s="158"/>
      <c r="K51" s="316"/>
      <c r="L51" s="160">
        <f t="shared" si="13"/>
        <v>0</v>
      </c>
      <c r="M51" s="316"/>
      <c r="N51" s="160">
        <f t="shared" si="14"/>
        <v>0</v>
      </c>
      <c r="O51" s="160">
        <f t="shared" si="15"/>
        <v>0</v>
      </c>
      <c r="P51" s="4"/>
      <c r="R51" s="1"/>
      <c r="S51" s="1"/>
      <c r="T51" s="1"/>
      <c r="U51" s="1"/>
    </row>
    <row r="52" spans="2:21">
      <c r="B52" t="str">
        <f t="shared" si="10"/>
        <v/>
      </c>
      <c r="C52" s="155">
        <f>IF(D11="","-",+C51+1)</f>
        <v>2048</v>
      </c>
      <c r="D52" s="164">
        <f>IF(F51+SUM(E$17:E51)=D$10,F51,D$10-SUM(E$17:E51))</f>
        <v>5423905.430828739</v>
      </c>
      <c r="E52" s="162">
        <f>IF(+I14&lt;F51,I14,D52)</f>
        <v>709109.54353113449</v>
      </c>
      <c r="F52" s="161">
        <f t="shared" si="11"/>
        <v>4714795.8872976042</v>
      </c>
      <c r="G52" s="163">
        <f t="shared" si="8"/>
        <v>1304712.7585520833</v>
      </c>
      <c r="H52" s="145">
        <f t="shared" si="9"/>
        <v>1304712.7585520833</v>
      </c>
      <c r="I52" s="158">
        <f t="shared" si="12"/>
        <v>0</v>
      </c>
      <c r="J52" s="158"/>
      <c r="K52" s="316"/>
      <c r="L52" s="160">
        <f t="shared" si="13"/>
        <v>0</v>
      </c>
      <c r="M52" s="316"/>
      <c r="N52" s="160">
        <f t="shared" si="14"/>
        <v>0</v>
      </c>
      <c r="O52" s="160">
        <f t="shared" si="15"/>
        <v>0</v>
      </c>
      <c r="P52" s="4"/>
      <c r="R52" s="1"/>
      <c r="S52" s="1"/>
      <c r="T52" s="1"/>
      <c r="U52" s="1"/>
    </row>
    <row r="53" spans="2:21">
      <c r="B53" t="str">
        <f t="shared" si="10"/>
        <v/>
      </c>
      <c r="C53" s="155">
        <f>IF(D11="","-",+C52+1)</f>
        <v>2049</v>
      </c>
      <c r="D53" s="136">
        <f>IF(F52+SUM(E$17:E52)=D$10,F52,D$10-SUM(E$17:E52))</f>
        <v>4714795.8872976042</v>
      </c>
      <c r="E53" s="162">
        <f>IF(+I14&lt;F52,I14,D53)</f>
        <v>709109.54353113449</v>
      </c>
      <c r="F53" s="161">
        <f t="shared" si="11"/>
        <v>4005686.3437664695</v>
      </c>
      <c r="G53" s="163">
        <f t="shared" si="8"/>
        <v>1221398.7500460644</v>
      </c>
      <c r="H53" s="145">
        <f t="shared" si="9"/>
        <v>1221398.7500460644</v>
      </c>
      <c r="I53" s="158">
        <f t="shared" si="12"/>
        <v>0</v>
      </c>
      <c r="J53" s="158"/>
      <c r="K53" s="316"/>
      <c r="L53" s="160">
        <f t="shared" si="13"/>
        <v>0</v>
      </c>
      <c r="M53" s="316"/>
      <c r="N53" s="160">
        <f t="shared" si="14"/>
        <v>0</v>
      </c>
      <c r="O53" s="160">
        <f t="shared" si="15"/>
        <v>0</v>
      </c>
      <c r="P53" s="4"/>
      <c r="R53" s="1"/>
      <c r="S53" s="1"/>
      <c r="T53" s="1"/>
      <c r="U53" s="1"/>
    </row>
    <row r="54" spans="2:21">
      <c r="B54" t="str">
        <f t="shared" si="10"/>
        <v/>
      </c>
      <c r="C54" s="155">
        <f>IF(D11="","-",+C53+1)</f>
        <v>2050</v>
      </c>
      <c r="D54" s="164">
        <f>IF(F53+SUM(E$17:E53)=D$10,F53,D$10-SUM(E$17:E53))</f>
        <v>4005686.3437664695</v>
      </c>
      <c r="E54" s="162">
        <f>IF(+I14&lt;F53,I14,D54)</f>
        <v>709109.54353113449</v>
      </c>
      <c r="F54" s="161">
        <f t="shared" si="11"/>
        <v>3296576.8002353348</v>
      </c>
      <c r="G54" s="163">
        <f t="shared" si="8"/>
        <v>1138084.7415400455</v>
      </c>
      <c r="H54" s="145">
        <f t="shared" si="9"/>
        <v>1138084.7415400455</v>
      </c>
      <c r="I54" s="158">
        <f t="shared" si="12"/>
        <v>0</v>
      </c>
      <c r="J54" s="158"/>
      <c r="K54" s="316"/>
      <c r="L54" s="160">
        <f t="shared" si="13"/>
        <v>0</v>
      </c>
      <c r="M54" s="316"/>
      <c r="N54" s="160">
        <f t="shared" si="14"/>
        <v>0</v>
      </c>
      <c r="O54" s="160">
        <f t="shared" si="15"/>
        <v>0</v>
      </c>
      <c r="P54" s="4"/>
      <c r="R54" s="1"/>
      <c r="S54" s="1"/>
      <c r="T54" s="1"/>
      <c r="U54" s="1"/>
    </row>
    <row r="55" spans="2:21">
      <c r="B55" t="str">
        <f t="shared" si="10"/>
        <v/>
      </c>
      <c r="C55" s="155">
        <f>IF(D11="","-",+C54+1)</f>
        <v>2051</v>
      </c>
      <c r="D55" s="164">
        <f>IF(F54+SUM(E$17:E54)=D$10,F54,D$10-SUM(E$17:E54))</f>
        <v>3296576.8002353348</v>
      </c>
      <c r="E55" s="162">
        <f>IF(+I14&lt;F54,I14,D55)</f>
        <v>709109.54353113449</v>
      </c>
      <c r="F55" s="161">
        <f t="shared" si="11"/>
        <v>2587467.2567042001</v>
      </c>
      <c r="G55" s="163">
        <f t="shared" si="8"/>
        <v>1054770.7330340268</v>
      </c>
      <c r="H55" s="145">
        <f t="shared" si="9"/>
        <v>1054770.7330340268</v>
      </c>
      <c r="I55" s="158">
        <f t="shared" si="12"/>
        <v>0</v>
      </c>
      <c r="J55" s="158"/>
      <c r="K55" s="316"/>
      <c r="L55" s="160">
        <f t="shared" si="13"/>
        <v>0</v>
      </c>
      <c r="M55" s="316"/>
      <c r="N55" s="160">
        <f t="shared" si="14"/>
        <v>0</v>
      </c>
      <c r="O55" s="160">
        <f t="shared" si="15"/>
        <v>0</v>
      </c>
      <c r="P55" s="4"/>
      <c r="R55" s="1"/>
      <c r="S55" s="1"/>
      <c r="T55" s="1"/>
      <c r="U55" s="1"/>
    </row>
    <row r="56" spans="2:21">
      <c r="B56" t="str">
        <f t="shared" si="10"/>
        <v/>
      </c>
      <c r="C56" s="155">
        <f>IF(D11="","-",+C55+1)</f>
        <v>2052</v>
      </c>
      <c r="D56" s="164">
        <f>IF(F55+SUM(E$17:E55)=D$10,F55,D$10-SUM(E$17:E55))</f>
        <v>2587467.2567042001</v>
      </c>
      <c r="E56" s="162">
        <f>IF(+I14&lt;F55,I14,D56)</f>
        <v>709109.54353113449</v>
      </c>
      <c r="F56" s="161">
        <f t="shared" si="11"/>
        <v>1878357.7131730656</v>
      </c>
      <c r="G56" s="163">
        <f t="shared" si="8"/>
        <v>971456.72452800791</v>
      </c>
      <c r="H56" s="145">
        <f t="shared" si="9"/>
        <v>971456.72452800791</v>
      </c>
      <c r="I56" s="158">
        <f t="shared" si="12"/>
        <v>0</v>
      </c>
      <c r="J56" s="158"/>
      <c r="K56" s="316"/>
      <c r="L56" s="160">
        <f t="shared" si="13"/>
        <v>0</v>
      </c>
      <c r="M56" s="316"/>
      <c r="N56" s="160">
        <f t="shared" si="14"/>
        <v>0</v>
      </c>
      <c r="O56" s="160">
        <f t="shared" si="15"/>
        <v>0</v>
      </c>
      <c r="P56" s="4"/>
      <c r="R56" s="1"/>
      <c r="S56" s="1"/>
      <c r="T56" s="1"/>
      <c r="U56" s="1"/>
    </row>
    <row r="57" spans="2:21">
      <c r="B57" t="str">
        <f t="shared" si="10"/>
        <v/>
      </c>
      <c r="C57" s="155">
        <f>IF(D11="","-",+C56+1)</f>
        <v>2053</v>
      </c>
      <c r="D57" s="164">
        <f>IF(F56+SUM(E$17:E56)=D$10,F56,D$10-SUM(E$17:E56))</f>
        <v>1878357.7131730656</v>
      </c>
      <c r="E57" s="162">
        <f>IF(+I14&lt;F56,I14,D57)</f>
        <v>709109.54353113449</v>
      </c>
      <c r="F57" s="161">
        <f t="shared" si="11"/>
        <v>1169248.1696419311</v>
      </c>
      <c r="G57" s="163">
        <f t="shared" si="8"/>
        <v>888142.71602198912</v>
      </c>
      <c r="H57" s="145">
        <f t="shared" si="9"/>
        <v>888142.71602198912</v>
      </c>
      <c r="I57" s="158">
        <f t="shared" si="12"/>
        <v>0</v>
      </c>
      <c r="J57" s="158"/>
      <c r="K57" s="316"/>
      <c r="L57" s="160">
        <f t="shared" si="13"/>
        <v>0</v>
      </c>
      <c r="M57" s="316"/>
      <c r="N57" s="160">
        <f t="shared" si="14"/>
        <v>0</v>
      </c>
      <c r="O57" s="160">
        <f t="shared" si="15"/>
        <v>0</v>
      </c>
      <c r="P57" s="4"/>
      <c r="R57" s="1"/>
      <c r="S57" s="1"/>
      <c r="T57" s="1"/>
      <c r="U57" s="1"/>
    </row>
    <row r="58" spans="2:21">
      <c r="B58" t="str">
        <f t="shared" si="10"/>
        <v/>
      </c>
      <c r="C58" s="155">
        <f>IF(D11="","-",+C57+1)</f>
        <v>2054</v>
      </c>
      <c r="D58" s="164">
        <f>IF(F57+SUM(E$17:E57)=D$10,F57,D$10-SUM(E$17:E57))</f>
        <v>1169248.1696419311</v>
      </c>
      <c r="E58" s="162">
        <f>IF(+I14&lt;F57,I14,D58)</f>
        <v>709109.54353113449</v>
      </c>
      <c r="F58" s="161">
        <f t="shared" si="11"/>
        <v>460138.62611079658</v>
      </c>
      <c r="G58" s="163">
        <f t="shared" si="8"/>
        <v>804828.70751597034</v>
      </c>
      <c r="H58" s="145">
        <f t="shared" si="9"/>
        <v>804828.70751597034</v>
      </c>
      <c r="I58" s="158">
        <f t="shared" si="12"/>
        <v>0</v>
      </c>
      <c r="J58" s="158"/>
      <c r="K58" s="316"/>
      <c r="L58" s="160">
        <f t="shared" si="13"/>
        <v>0</v>
      </c>
      <c r="M58" s="316"/>
      <c r="N58" s="160">
        <f t="shared" si="14"/>
        <v>0</v>
      </c>
      <c r="O58" s="160">
        <f t="shared" si="15"/>
        <v>0</v>
      </c>
      <c r="P58" s="4"/>
      <c r="R58" s="1"/>
      <c r="S58" s="1"/>
      <c r="T58" s="1"/>
      <c r="U58" s="1"/>
    </row>
    <row r="59" spans="2:21">
      <c r="B59" t="str">
        <f t="shared" si="10"/>
        <v/>
      </c>
      <c r="C59" s="155">
        <f>IF(D11="","-",+C58+1)</f>
        <v>2055</v>
      </c>
      <c r="D59" s="164">
        <f>IF(F58+SUM(E$17:E58)=D$10,F58,D$10-SUM(E$17:E58))</f>
        <v>460138.62611079658</v>
      </c>
      <c r="E59" s="162">
        <f>IF(+I14&lt;F58,I14,D59)</f>
        <v>460138.62611079658</v>
      </c>
      <c r="F59" s="161">
        <f t="shared" si="11"/>
        <v>0</v>
      </c>
      <c r="G59" s="163">
        <f t="shared" si="8"/>
        <v>487169.70597670978</v>
      </c>
      <c r="H59" s="145">
        <f t="shared" si="9"/>
        <v>487169.70597670978</v>
      </c>
      <c r="I59" s="158">
        <f t="shared" si="12"/>
        <v>0</v>
      </c>
      <c r="J59" s="158"/>
      <c r="K59" s="316"/>
      <c r="L59" s="160">
        <f t="shared" si="13"/>
        <v>0</v>
      </c>
      <c r="M59" s="316"/>
      <c r="N59" s="160">
        <f t="shared" si="14"/>
        <v>0</v>
      </c>
      <c r="O59" s="160">
        <f t="shared" si="15"/>
        <v>0</v>
      </c>
      <c r="P59" s="4"/>
      <c r="R59" s="1"/>
      <c r="S59" s="1"/>
      <c r="T59" s="1"/>
      <c r="U59" s="1"/>
    </row>
    <row r="60" spans="2:21">
      <c r="B60" t="str">
        <f t="shared" si="10"/>
        <v/>
      </c>
      <c r="C60" s="155">
        <f>IF(D11="","-",+C59+1)</f>
        <v>2056</v>
      </c>
      <c r="D60" s="164">
        <f>IF(F59+SUM(E$17:E59)=D$10,F59,D$10-SUM(E$17:E59))</f>
        <v>0</v>
      </c>
      <c r="E60" s="162">
        <f>IF(+I14&lt;F59,I14,D60)</f>
        <v>0</v>
      </c>
      <c r="F60" s="161">
        <f t="shared" si="11"/>
        <v>0</v>
      </c>
      <c r="G60" s="163">
        <f t="shared" si="8"/>
        <v>0</v>
      </c>
      <c r="H60" s="145">
        <f t="shared" si="9"/>
        <v>0</v>
      </c>
      <c r="I60" s="158">
        <f t="shared" si="12"/>
        <v>0</v>
      </c>
      <c r="J60" s="158"/>
      <c r="K60" s="316"/>
      <c r="L60" s="160">
        <f t="shared" si="13"/>
        <v>0</v>
      </c>
      <c r="M60" s="316"/>
      <c r="N60" s="160">
        <f t="shared" si="14"/>
        <v>0</v>
      </c>
      <c r="O60" s="160">
        <f t="shared" si="15"/>
        <v>0</v>
      </c>
      <c r="P60" s="4"/>
      <c r="R60" s="1"/>
      <c r="S60" s="1"/>
      <c r="T60" s="1"/>
      <c r="U60" s="1"/>
    </row>
    <row r="61" spans="2:21">
      <c r="B61" t="str">
        <f t="shared" si="10"/>
        <v/>
      </c>
      <c r="C61" s="155">
        <f>IF(D11="","-",+C60+1)</f>
        <v>2057</v>
      </c>
      <c r="D61" s="164">
        <f>IF(F60+SUM(E$17:E60)=D$10,F60,D$10-SUM(E$17:E60))</f>
        <v>0</v>
      </c>
      <c r="E61" s="162">
        <f>IF(+I14&lt;F60,I14,D61)</f>
        <v>0</v>
      </c>
      <c r="F61" s="161">
        <f t="shared" si="11"/>
        <v>0</v>
      </c>
      <c r="G61" s="163">
        <f t="shared" si="8"/>
        <v>0</v>
      </c>
      <c r="H61" s="145">
        <f t="shared" si="9"/>
        <v>0</v>
      </c>
      <c r="I61" s="158">
        <f t="shared" si="12"/>
        <v>0</v>
      </c>
      <c r="J61" s="158"/>
      <c r="K61" s="316"/>
      <c r="L61" s="160">
        <f t="shared" si="13"/>
        <v>0</v>
      </c>
      <c r="M61" s="316"/>
      <c r="N61" s="160">
        <f t="shared" si="14"/>
        <v>0</v>
      </c>
      <c r="O61" s="160">
        <f t="shared" si="15"/>
        <v>0</v>
      </c>
      <c r="P61" s="4"/>
      <c r="R61" s="1"/>
      <c r="S61" s="1"/>
      <c r="T61" s="1"/>
      <c r="U61" s="1"/>
    </row>
    <row r="62" spans="2:21">
      <c r="B62" t="str">
        <f t="shared" si="10"/>
        <v/>
      </c>
      <c r="C62" s="155">
        <f>IF(D11="","-",+C61+1)</f>
        <v>2058</v>
      </c>
      <c r="D62" s="164">
        <f>IF(F61+SUM(E$17:E61)=D$10,F61,D$10-SUM(E$17:E61))</f>
        <v>0</v>
      </c>
      <c r="E62" s="162">
        <f>IF(+I14&lt;F61,I14,D62)</f>
        <v>0</v>
      </c>
      <c r="F62" s="161">
        <f t="shared" si="11"/>
        <v>0</v>
      </c>
      <c r="G62" s="165">
        <f t="shared" si="8"/>
        <v>0</v>
      </c>
      <c r="H62" s="145">
        <f t="shared" si="9"/>
        <v>0</v>
      </c>
      <c r="I62" s="158">
        <f t="shared" si="12"/>
        <v>0</v>
      </c>
      <c r="J62" s="158"/>
      <c r="K62" s="316"/>
      <c r="L62" s="160">
        <f t="shared" si="13"/>
        <v>0</v>
      </c>
      <c r="M62" s="316"/>
      <c r="N62" s="160">
        <f t="shared" si="14"/>
        <v>0</v>
      </c>
      <c r="O62" s="160">
        <f t="shared" si="15"/>
        <v>0</v>
      </c>
      <c r="P62" s="4"/>
      <c r="R62" s="1"/>
      <c r="S62" s="1"/>
      <c r="T62" s="1"/>
      <c r="U62" s="1"/>
    </row>
    <row r="63" spans="2:21">
      <c r="B63" t="str">
        <f t="shared" si="10"/>
        <v/>
      </c>
      <c r="C63" s="155">
        <f>IF(D11="","-",+C62+1)</f>
        <v>2059</v>
      </c>
      <c r="D63" s="164">
        <f>IF(F62+SUM(E$17:E62)=D$10,F62,D$10-SUM(E$17:E62))</f>
        <v>0</v>
      </c>
      <c r="E63" s="162">
        <f>IF(+I14&lt;F62,I14,D63)</f>
        <v>0</v>
      </c>
      <c r="F63" s="161">
        <f t="shared" si="11"/>
        <v>0</v>
      </c>
      <c r="G63" s="165">
        <f t="shared" si="8"/>
        <v>0</v>
      </c>
      <c r="H63" s="145">
        <f t="shared" si="9"/>
        <v>0</v>
      </c>
      <c r="I63" s="158">
        <f t="shared" si="12"/>
        <v>0</v>
      </c>
      <c r="J63" s="158"/>
      <c r="K63" s="316"/>
      <c r="L63" s="160">
        <f t="shared" si="13"/>
        <v>0</v>
      </c>
      <c r="M63" s="316"/>
      <c r="N63" s="160">
        <f t="shared" si="14"/>
        <v>0</v>
      </c>
      <c r="O63" s="160">
        <f t="shared" si="15"/>
        <v>0</v>
      </c>
      <c r="P63" s="4"/>
      <c r="R63" s="1"/>
      <c r="S63" s="1"/>
      <c r="T63" s="1"/>
      <c r="U63" s="1"/>
    </row>
    <row r="64" spans="2:21">
      <c r="B64" t="str">
        <f t="shared" si="10"/>
        <v/>
      </c>
      <c r="C64" s="155">
        <f>IF(D11="","-",+C63+1)</f>
        <v>2060</v>
      </c>
      <c r="D64" s="164">
        <f>IF(F63+SUM(E$17:E63)=D$10,F63,D$10-SUM(E$17:E63))</f>
        <v>0</v>
      </c>
      <c r="E64" s="162">
        <f>IF(+I14&lt;F63,I14,D64)</f>
        <v>0</v>
      </c>
      <c r="F64" s="161">
        <f t="shared" si="11"/>
        <v>0</v>
      </c>
      <c r="G64" s="165">
        <f t="shared" si="8"/>
        <v>0</v>
      </c>
      <c r="H64" s="145">
        <f t="shared" si="9"/>
        <v>0</v>
      </c>
      <c r="I64" s="158">
        <f t="shared" si="12"/>
        <v>0</v>
      </c>
      <c r="J64" s="158"/>
      <c r="K64" s="316"/>
      <c r="L64" s="160">
        <f t="shared" si="13"/>
        <v>0</v>
      </c>
      <c r="M64" s="316"/>
      <c r="N64" s="160">
        <f t="shared" si="14"/>
        <v>0</v>
      </c>
      <c r="O64" s="160">
        <f t="shared" si="15"/>
        <v>0</v>
      </c>
      <c r="P64" s="4"/>
      <c r="R64" s="1"/>
      <c r="S64" s="1"/>
      <c r="T64" s="1"/>
      <c r="U64" s="1"/>
    </row>
    <row r="65" spans="2:21">
      <c r="B65" t="str">
        <f t="shared" si="10"/>
        <v/>
      </c>
      <c r="C65" s="155">
        <f>IF(D11="","-",+C64+1)</f>
        <v>2061</v>
      </c>
      <c r="D65" s="164">
        <f>IF(F64+SUM(E$17:E64)=D$10,F64,D$10-SUM(E$17:E64))</f>
        <v>0</v>
      </c>
      <c r="E65" s="162">
        <f>IF(+I14&lt;F64,I14,D65)</f>
        <v>0</v>
      </c>
      <c r="F65" s="161">
        <f t="shared" si="11"/>
        <v>0</v>
      </c>
      <c r="G65" s="165">
        <f t="shared" si="8"/>
        <v>0</v>
      </c>
      <c r="H65" s="145">
        <f t="shared" si="9"/>
        <v>0</v>
      </c>
      <c r="I65" s="158">
        <f t="shared" si="12"/>
        <v>0</v>
      </c>
      <c r="J65" s="158"/>
      <c r="K65" s="316"/>
      <c r="L65" s="160">
        <f t="shared" si="13"/>
        <v>0</v>
      </c>
      <c r="M65" s="316"/>
      <c r="N65" s="160">
        <f t="shared" si="14"/>
        <v>0</v>
      </c>
      <c r="O65" s="160">
        <f t="shared" si="15"/>
        <v>0</v>
      </c>
      <c r="P65" s="4"/>
      <c r="R65" s="1"/>
      <c r="S65" s="1"/>
      <c r="T65" s="1"/>
      <c r="U65" s="1"/>
    </row>
    <row r="66" spans="2:21">
      <c r="B66" t="str">
        <f t="shared" si="10"/>
        <v/>
      </c>
      <c r="C66" s="155">
        <f>IF(D11="","-",+C65+1)</f>
        <v>2062</v>
      </c>
      <c r="D66" s="164">
        <f>IF(F65+SUM(E$17:E65)=D$10,F65,D$10-SUM(E$17:E65))</f>
        <v>0</v>
      </c>
      <c r="E66" s="162">
        <f>IF(+I14&lt;F65,I14,D66)</f>
        <v>0</v>
      </c>
      <c r="F66" s="161">
        <f t="shared" si="11"/>
        <v>0</v>
      </c>
      <c r="G66" s="165">
        <f t="shared" si="8"/>
        <v>0</v>
      </c>
      <c r="H66" s="145">
        <f t="shared" si="9"/>
        <v>0</v>
      </c>
      <c r="I66" s="158">
        <f t="shared" si="12"/>
        <v>0</v>
      </c>
      <c r="J66" s="158"/>
      <c r="K66" s="316"/>
      <c r="L66" s="160">
        <f t="shared" si="13"/>
        <v>0</v>
      </c>
      <c r="M66" s="316"/>
      <c r="N66" s="160">
        <f t="shared" si="14"/>
        <v>0</v>
      </c>
      <c r="O66" s="160">
        <f t="shared" si="15"/>
        <v>0</v>
      </c>
      <c r="P66" s="4"/>
      <c r="R66" s="1"/>
      <c r="S66" s="1"/>
      <c r="T66" s="1"/>
      <c r="U66" s="1"/>
    </row>
    <row r="67" spans="2:21">
      <c r="B67" t="str">
        <f t="shared" si="10"/>
        <v/>
      </c>
      <c r="C67" s="155">
        <f>IF(D11="","-",+C66+1)</f>
        <v>2063</v>
      </c>
      <c r="D67" s="164">
        <f>IF(F66+SUM(E$17:E66)=D$10,F66,D$10-SUM(E$17:E66))</f>
        <v>0</v>
      </c>
      <c r="E67" s="162">
        <f>IF(+I14&lt;F66,I14,D67)</f>
        <v>0</v>
      </c>
      <c r="F67" s="161">
        <f t="shared" si="11"/>
        <v>0</v>
      </c>
      <c r="G67" s="165">
        <f t="shared" si="8"/>
        <v>0</v>
      </c>
      <c r="H67" s="145">
        <f t="shared" si="9"/>
        <v>0</v>
      </c>
      <c r="I67" s="158">
        <f t="shared" si="12"/>
        <v>0</v>
      </c>
      <c r="J67" s="158"/>
      <c r="K67" s="316"/>
      <c r="L67" s="160">
        <f t="shared" si="13"/>
        <v>0</v>
      </c>
      <c r="M67" s="316"/>
      <c r="N67" s="160">
        <f t="shared" si="14"/>
        <v>0</v>
      </c>
      <c r="O67" s="160">
        <f t="shared" si="15"/>
        <v>0</v>
      </c>
      <c r="P67" s="4"/>
      <c r="R67" s="1"/>
      <c r="S67" s="1"/>
      <c r="T67" s="1"/>
      <c r="U67" s="1"/>
    </row>
    <row r="68" spans="2:21">
      <c r="B68" t="str">
        <f t="shared" si="10"/>
        <v/>
      </c>
      <c r="C68" s="155">
        <f>IF(D11="","-",+C67+1)</f>
        <v>2064</v>
      </c>
      <c r="D68" s="164">
        <f>IF(F67+SUM(E$17:E67)=D$10,F67,D$10-SUM(E$17:E67))</f>
        <v>0</v>
      </c>
      <c r="E68" s="162">
        <f>IF(+I14&lt;F67,I14,D68)</f>
        <v>0</v>
      </c>
      <c r="F68" s="161">
        <f t="shared" si="11"/>
        <v>0</v>
      </c>
      <c r="G68" s="165">
        <f t="shared" si="8"/>
        <v>0</v>
      </c>
      <c r="H68" s="145">
        <f t="shared" si="9"/>
        <v>0</v>
      </c>
      <c r="I68" s="158">
        <f t="shared" si="12"/>
        <v>0</v>
      </c>
      <c r="J68" s="158"/>
      <c r="K68" s="316"/>
      <c r="L68" s="160">
        <f t="shared" si="13"/>
        <v>0</v>
      </c>
      <c r="M68" s="316"/>
      <c r="N68" s="160">
        <f t="shared" si="14"/>
        <v>0</v>
      </c>
      <c r="O68" s="160">
        <f t="shared" si="15"/>
        <v>0</v>
      </c>
      <c r="P68" s="4"/>
      <c r="R68" s="1"/>
      <c r="S68" s="1"/>
      <c r="T68" s="1"/>
      <c r="U68" s="1"/>
    </row>
    <row r="69" spans="2:21">
      <c r="B69" t="str">
        <f t="shared" si="10"/>
        <v/>
      </c>
      <c r="C69" s="155">
        <f>IF(D11="","-",+C68+1)</f>
        <v>2065</v>
      </c>
      <c r="D69" s="164">
        <f>IF(F68+SUM(E$17:E68)=D$10,F68,D$10-SUM(E$17:E68))</f>
        <v>0</v>
      </c>
      <c r="E69" s="162">
        <f>IF(+I14&lt;F68,I14,D69)</f>
        <v>0</v>
      </c>
      <c r="F69" s="161">
        <f t="shared" si="11"/>
        <v>0</v>
      </c>
      <c r="G69" s="165">
        <f t="shared" si="8"/>
        <v>0</v>
      </c>
      <c r="H69" s="145">
        <f t="shared" si="9"/>
        <v>0</v>
      </c>
      <c r="I69" s="158">
        <f t="shared" si="12"/>
        <v>0</v>
      </c>
      <c r="J69" s="158"/>
      <c r="K69" s="316"/>
      <c r="L69" s="160">
        <f t="shared" si="13"/>
        <v>0</v>
      </c>
      <c r="M69" s="316"/>
      <c r="N69" s="160">
        <f t="shared" si="14"/>
        <v>0</v>
      </c>
      <c r="O69" s="160">
        <f t="shared" si="15"/>
        <v>0</v>
      </c>
      <c r="P69" s="4"/>
      <c r="R69" s="1"/>
      <c r="S69" s="1"/>
      <c r="T69" s="1"/>
      <c r="U69" s="1"/>
    </row>
    <row r="70" spans="2:21">
      <c r="B70" t="str">
        <f t="shared" si="10"/>
        <v/>
      </c>
      <c r="C70" s="155">
        <f>IF(D11="","-",+C69+1)</f>
        <v>2066</v>
      </c>
      <c r="D70" s="164">
        <f>IF(F69+SUM(E$17:E69)=D$10,F69,D$10-SUM(E$17:E69))</f>
        <v>0</v>
      </c>
      <c r="E70" s="162">
        <f>IF(+I14&lt;F69,I14,D70)</f>
        <v>0</v>
      </c>
      <c r="F70" s="161">
        <f t="shared" si="11"/>
        <v>0</v>
      </c>
      <c r="G70" s="165">
        <f t="shared" si="8"/>
        <v>0</v>
      </c>
      <c r="H70" s="145">
        <f t="shared" si="9"/>
        <v>0</v>
      </c>
      <c r="I70" s="158">
        <f t="shared" si="12"/>
        <v>0</v>
      </c>
      <c r="J70" s="158"/>
      <c r="K70" s="316"/>
      <c r="L70" s="160">
        <f t="shared" si="13"/>
        <v>0</v>
      </c>
      <c r="M70" s="316"/>
      <c r="N70" s="160">
        <f t="shared" si="14"/>
        <v>0</v>
      </c>
      <c r="O70" s="160">
        <f t="shared" si="15"/>
        <v>0</v>
      </c>
      <c r="P70" s="4"/>
      <c r="R70" s="1"/>
      <c r="S70" s="1"/>
      <c r="T70" s="1"/>
      <c r="U70" s="1"/>
    </row>
    <row r="71" spans="2:21">
      <c r="B71" t="str">
        <f t="shared" si="10"/>
        <v/>
      </c>
      <c r="C71" s="155">
        <f>IF(D11="","-",+C70+1)</f>
        <v>2067</v>
      </c>
      <c r="D71" s="164">
        <f>IF(F70+SUM(E$17:E70)=D$10,F70,D$10-SUM(E$17:E70))</f>
        <v>0</v>
      </c>
      <c r="E71" s="162">
        <f>IF(+I14&lt;F70,I14,D71)</f>
        <v>0</v>
      </c>
      <c r="F71" s="161">
        <f t="shared" si="11"/>
        <v>0</v>
      </c>
      <c r="G71" s="165">
        <f t="shared" si="8"/>
        <v>0</v>
      </c>
      <c r="H71" s="145">
        <f t="shared" si="9"/>
        <v>0</v>
      </c>
      <c r="I71" s="158">
        <f t="shared" si="12"/>
        <v>0</v>
      </c>
      <c r="J71" s="158"/>
      <c r="K71" s="316"/>
      <c r="L71" s="160">
        <f t="shared" si="13"/>
        <v>0</v>
      </c>
      <c r="M71" s="316"/>
      <c r="N71" s="160">
        <f t="shared" si="14"/>
        <v>0</v>
      </c>
      <c r="O71" s="160">
        <f t="shared" si="15"/>
        <v>0</v>
      </c>
      <c r="P71" s="4"/>
      <c r="R71" s="1"/>
      <c r="S71" s="1"/>
      <c r="T71" s="1"/>
      <c r="U71" s="1"/>
    </row>
    <row r="72" spans="2:21">
      <c r="B72" t="str">
        <f t="shared" si="10"/>
        <v/>
      </c>
      <c r="C72" s="155">
        <f>IF(D11="","-",+C71+1)</f>
        <v>2068</v>
      </c>
      <c r="D72" s="164">
        <f>IF(F71+SUM(E$17:E71)=D$10,F71,D$10-SUM(E$17:E71))</f>
        <v>0</v>
      </c>
      <c r="E72" s="162">
        <f>IF(+I14&lt;F71,I14,D72)</f>
        <v>0</v>
      </c>
      <c r="F72" s="161">
        <f t="shared" si="11"/>
        <v>0</v>
      </c>
      <c r="G72" s="165">
        <f t="shared" si="8"/>
        <v>0</v>
      </c>
      <c r="H72" s="145">
        <f t="shared" si="9"/>
        <v>0</v>
      </c>
      <c r="I72" s="158">
        <f t="shared" si="12"/>
        <v>0</v>
      </c>
      <c r="J72" s="158"/>
      <c r="K72" s="316"/>
      <c r="L72" s="160">
        <f t="shared" si="13"/>
        <v>0</v>
      </c>
      <c r="M72" s="316"/>
      <c r="N72" s="160">
        <f t="shared" si="14"/>
        <v>0</v>
      </c>
      <c r="O72" s="160">
        <f t="shared" si="15"/>
        <v>0</v>
      </c>
      <c r="P72" s="4"/>
      <c r="R72" s="1"/>
      <c r="S72" s="1"/>
      <c r="T72" s="1"/>
      <c r="U72" s="1"/>
    </row>
    <row r="73" spans="2:21" ht="13.5" thickBot="1">
      <c r="B73" t="str">
        <f t="shared" si="10"/>
        <v/>
      </c>
      <c r="C73" s="166">
        <f>IF(D11="","-",+C72+1)</f>
        <v>2069</v>
      </c>
      <c r="D73" s="349">
        <f>IF(F72+SUM(E$17:E72)=D$10,F72,D$10-SUM(E$17:E72))</f>
        <v>0</v>
      </c>
      <c r="E73" s="168">
        <f>IF(+I14&lt;F72,I14,D73)</f>
        <v>0</v>
      </c>
      <c r="F73" s="167">
        <f t="shared" si="11"/>
        <v>0</v>
      </c>
      <c r="G73" s="169">
        <f t="shared" si="8"/>
        <v>0</v>
      </c>
      <c r="H73" s="127">
        <f t="shared" si="9"/>
        <v>0</v>
      </c>
      <c r="I73" s="170">
        <f t="shared" si="12"/>
        <v>0</v>
      </c>
      <c r="J73" s="158"/>
      <c r="K73" s="317"/>
      <c r="L73" s="171">
        <f t="shared" si="13"/>
        <v>0</v>
      </c>
      <c r="M73" s="317"/>
      <c r="N73" s="171">
        <f t="shared" si="14"/>
        <v>0</v>
      </c>
      <c r="O73" s="171">
        <f t="shared" si="15"/>
        <v>0</v>
      </c>
      <c r="P73" s="4"/>
      <c r="R73" s="1"/>
      <c r="S73" s="1"/>
      <c r="T73" s="1"/>
      <c r="U73" s="1"/>
    </row>
    <row r="74" spans="2:21">
      <c r="C74" s="156" t="s">
        <v>75</v>
      </c>
      <c r="D74" s="112"/>
      <c r="E74" s="112">
        <f>SUM(E17:E73)</f>
        <v>28914235.739999998</v>
      </c>
      <c r="F74" s="112"/>
      <c r="G74" s="112">
        <f>SUM(G17:G73)</f>
        <v>100613896.83489265</v>
      </c>
      <c r="H74" s="112">
        <f>SUM(H17:H73)</f>
        <v>100613896.83489265</v>
      </c>
      <c r="I74" s="112">
        <f>SUM(I17:I73)</f>
        <v>0</v>
      </c>
      <c r="J74" s="112"/>
      <c r="K74" s="112"/>
      <c r="L74" s="112"/>
      <c r="M74" s="112"/>
      <c r="N74" s="112"/>
      <c r="O74" s="4"/>
      <c r="P74" s="4"/>
      <c r="R74" s="1"/>
      <c r="S74" s="1"/>
      <c r="T74" s="1"/>
      <c r="U74" s="1"/>
    </row>
    <row r="75" spans="2:21">
      <c r="D75" s="2"/>
      <c r="E75" s="1"/>
      <c r="F75" s="1"/>
      <c r="G75" s="1"/>
      <c r="H75" s="3"/>
      <c r="I75" s="3"/>
      <c r="J75" s="112"/>
      <c r="K75" s="3"/>
      <c r="L75" s="3"/>
      <c r="M75" s="3"/>
      <c r="N75" s="3"/>
      <c r="O75" s="1"/>
      <c r="P75" s="1"/>
      <c r="R75" s="1"/>
      <c r="S75" s="1"/>
      <c r="T75" s="1"/>
      <c r="U75" s="1"/>
    </row>
    <row r="76" spans="2:21">
      <c r="C76" s="172" t="s">
        <v>95</v>
      </c>
      <c r="D76" s="2"/>
      <c r="E76" s="1"/>
      <c r="F76" s="1"/>
      <c r="G76" s="1"/>
      <c r="H76" s="3"/>
      <c r="I76" s="3"/>
      <c r="J76" s="112"/>
      <c r="K76" s="3"/>
      <c r="L76" s="3"/>
      <c r="M76" s="3"/>
      <c r="N76" s="3"/>
      <c r="O76" s="1"/>
      <c r="P76" s="1"/>
      <c r="R76" s="1"/>
      <c r="S76" s="1"/>
      <c r="T76" s="1"/>
      <c r="U76" s="1"/>
    </row>
    <row r="77" spans="2:21">
      <c r="C77" s="124" t="s">
        <v>76</v>
      </c>
      <c r="D77" s="2"/>
      <c r="E77" s="1"/>
      <c r="F77" s="1"/>
      <c r="G77" s="1"/>
      <c r="H77" s="3"/>
      <c r="I77" s="3"/>
      <c r="J77" s="112"/>
      <c r="K77" s="3"/>
      <c r="L77" s="3"/>
      <c r="M77" s="3"/>
      <c r="N77" s="3"/>
      <c r="O77" s="4"/>
      <c r="P77" s="4"/>
      <c r="R77" s="1"/>
      <c r="S77" s="1"/>
      <c r="T77" s="1"/>
      <c r="U77" s="1"/>
    </row>
    <row r="78" spans="2:21">
      <c r="C78" s="124" t="s">
        <v>77</v>
      </c>
      <c r="D78" s="156"/>
      <c r="E78" s="156"/>
      <c r="F78" s="156"/>
      <c r="G78" s="112"/>
      <c r="H78" s="112"/>
      <c r="I78" s="173"/>
      <c r="J78" s="173"/>
      <c r="K78" s="173"/>
      <c r="L78" s="173"/>
      <c r="M78" s="173"/>
      <c r="N78" s="173"/>
      <c r="O78" s="4"/>
      <c r="P78" s="4"/>
      <c r="R78" s="1"/>
      <c r="S78" s="1"/>
      <c r="T78" s="1"/>
      <c r="U78" s="1"/>
    </row>
    <row r="79" spans="2:21">
      <c r="C79" s="124"/>
      <c r="D79" s="156"/>
      <c r="E79" s="156"/>
      <c r="F79" s="156"/>
      <c r="G79" s="112"/>
      <c r="H79" s="112"/>
      <c r="I79" s="173"/>
      <c r="J79" s="173"/>
      <c r="K79" s="173"/>
      <c r="L79" s="173"/>
      <c r="M79" s="173"/>
      <c r="N79" s="173"/>
      <c r="O79" s="4"/>
      <c r="P79" s="1"/>
      <c r="R79" s="1"/>
      <c r="S79" s="1"/>
      <c r="T79" s="1"/>
      <c r="U79" s="1"/>
    </row>
    <row r="80" spans="2:21">
      <c r="B80" s="1"/>
      <c r="C80" s="23"/>
      <c r="D80" s="2"/>
      <c r="E80" s="1"/>
      <c r="F80" s="108"/>
      <c r="G80" s="1"/>
      <c r="H80" s="3"/>
      <c r="I80" s="1"/>
      <c r="J80" s="4"/>
      <c r="K80" s="1"/>
      <c r="L80" s="1"/>
      <c r="M80" s="1"/>
      <c r="N80" s="1"/>
      <c r="O80" s="1"/>
      <c r="P80" s="1"/>
      <c r="R80" s="1"/>
      <c r="S80" s="1"/>
      <c r="T80" s="1"/>
      <c r="U80" s="1"/>
    </row>
    <row r="81" spans="1:21" ht="18">
      <c r="B81" s="1"/>
      <c r="C81" s="239"/>
      <c r="D81" s="2"/>
      <c r="E81" s="1"/>
      <c r="F81" s="108"/>
      <c r="G81" s="1"/>
      <c r="H81" s="3"/>
      <c r="I81" s="1"/>
      <c r="J81" s="4"/>
      <c r="K81" s="1"/>
      <c r="L81" s="1"/>
      <c r="M81" s="1"/>
      <c r="N81" s="1"/>
      <c r="P81" s="241" t="s">
        <v>128</v>
      </c>
      <c r="R81" s="1"/>
      <c r="S81" s="1"/>
      <c r="T81" s="1"/>
      <c r="U81" s="1"/>
    </row>
    <row r="82" spans="1:21">
      <c r="B82" s="1"/>
      <c r="C82" s="23"/>
      <c r="D82" s="2"/>
      <c r="E82" s="1"/>
      <c r="F82" s="108"/>
      <c r="G82" s="1"/>
      <c r="H82" s="3"/>
      <c r="I82" s="1"/>
      <c r="J82" s="4"/>
      <c r="K82" s="1"/>
      <c r="L82" s="1"/>
      <c r="M82" s="1"/>
      <c r="N82" s="1"/>
      <c r="O82" s="1"/>
      <c r="P82" s="1"/>
      <c r="R82" s="1"/>
      <c r="S82" s="1"/>
      <c r="T82" s="1"/>
      <c r="U82" s="1"/>
    </row>
    <row r="83" spans="1:21">
      <c r="B83" s="1"/>
      <c r="C83" s="23"/>
      <c r="D83" s="2"/>
      <c r="E83" s="1"/>
      <c r="F83" s="108"/>
      <c r="G83" s="1"/>
      <c r="H83" s="3"/>
      <c r="I83" s="1"/>
      <c r="J83" s="4"/>
      <c r="K83" s="1"/>
      <c r="L83" s="1"/>
      <c r="M83" s="1"/>
      <c r="N83" s="1"/>
      <c r="O83" s="1"/>
      <c r="P83" s="1"/>
      <c r="Q83" s="1"/>
      <c r="R83" s="1"/>
      <c r="S83" s="1"/>
      <c r="T83" s="1"/>
      <c r="U83" s="1"/>
    </row>
    <row r="84" spans="1:21" ht="20.25">
      <c r="A84" s="240" t="s">
        <v>190</v>
      </c>
      <c r="B84" s="1"/>
      <c r="C84" s="23"/>
      <c r="D84" s="2"/>
      <c r="E84" s="1"/>
      <c r="F84" s="100"/>
      <c r="G84" s="100"/>
      <c r="H84" s="1"/>
      <c r="I84" s="3"/>
      <c r="K84" s="7"/>
      <c r="L84" s="110"/>
      <c r="M84" s="110"/>
      <c r="P84" s="111" t="str">
        <f ca="1">P1</f>
        <v>OKT Project 6 of 19</v>
      </c>
      <c r="Q84" s="1"/>
      <c r="R84" s="1"/>
      <c r="S84" s="1"/>
      <c r="T84" s="1"/>
      <c r="U84" s="1"/>
    </row>
    <row r="85" spans="1:21" ht="18">
      <c r="B85" s="1"/>
      <c r="C85" s="1"/>
      <c r="D85" s="2"/>
      <c r="E85" s="1"/>
      <c r="F85" s="1"/>
      <c r="G85" s="1"/>
      <c r="H85" s="1"/>
      <c r="I85" s="3"/>
      <c r="J85" s="1"/>
      <c r="K85" s="4"/>
      <c r="L85" s="1"/>
      <c r="M85" s="1"/>
      <c r="P85" s="247" t="s">
        <v>132</v>
      </c>
      <c r="Q85" s="1"/>
      <c r="R85" s="1"/>
      <c r="S85" s="1"/>
      <c r="T85" s="1"/>
      <c r="U85" s="1"/>
    </row>
    <row r="86" spans="1:21" ht="18.75" thickBot="1">
      <c r="B86" s="5" t="s">
        <v>42</v>
      </c>
      <c r="C86" s="197" t="s">
        <v>81</v>
      </c>
      <c r="D86" s="2"/>
      <c r="E86" s="1"/>
      <c r="F86" s="1"/>
      <c r="G86" s="1"/>
      <c r="H86" s="1"/>
      <c r="I86" s="3"/>
      <c r="J86" s="3"/>
      <c r="K86" s="112"/>
      <c r="L86" s="3"/>
      <c r="M86" s="3"/>
      <c r="N86" s="3"/>
      <c r="O86" s="112"/>
      <c r="P86" s="1"/>
      <c r="Q86" s="1"/>
      <c r="R86" s="1"/>
      <c r="S86" s="1"/>
      <c r="T86" s="1"/>
      <c r="U86" s="1"/>
    </row>
    <row r="87" spans="1:21" ht="15.75" thickBot="1">
      <c r="C87" s="68"/>
      <c r="D87" s="2"/>
      <c r="E87" s="1"/>
      <c r="F87" s="1"/>
      <c r="G87" s="1"/>
      <c r="H87" s="1"/>
      <c r="I87" s="3"/>
      <c r="J87" s="3"/>
      <c r="K87" s="112"/>
      <c r="L87" s="248">
        <f>+J93</f>
        <v>2018</v>
      </c>
      <c r="M87" s="249" t="s">
        <v>9</v>
      </c>
      <c r="N87" s="250" t="s">
        <v>134</v>
      </c>
      <c r="O87" s="251" t="s">
        <v>11</v>
      </c>
      <c r="P87" s="1"/>
      <c r="Q87" s="1"/>
      <c r="R87" s="1"/>
      <c r="S87" s="1"/>
      <c r="T87" s="1"/>
      <c r="U87" s="1"/>
    </row>
    <row r="88" spans="1:21" ht="15">
      <c r="C88" s="233" t="s">
        <v>44</v>
      </c>
      <c r="D88" s="2"/>
      <c r="E88" s="1"/>
      <c r="F88" s="1"/>
      <c r="G88" s="1"/>
      <c r="H88" s="114"/>
      <c r="I88" s="1" t="s">
        <v>45</v>
      </c>
      <c r="J88" s="1"/>
      <c r="K88" s="252"/>
      <c r="L88" s="253" t="s">
        <v>253</v>
      </c>
      <c r="M88" s="198">
        <f>IF(J93&lt;D11,0,VLOOKUP(J93,C17:O73,9))</f>
        <v>3804133.0137326475</v>
      </c>
      <c r="N88" s="198">
        <f>IF(J93&lt;D11,0,VLOOKUP(J93,C17:O73,11))</f>
        <v>3804133.0137326475</v>
      </c>
      <c r="O88" s="199">
        <f>+N88-M88</f>
        <v>0</v>
      </c>
      <c r="P88" s="1"/>
      <c r="Q88" s="1"/>
      <c r="R88" s="1"/>
      <c r="S88" s="1"/>
      <c r="T88" s="1"/>
      <c r="U88" s="1"/>
    </row>
    <row r="89" spans="1:21" ht="15.75">
      <c r="C89" s="8"/>
      <c r="D89" s="2"/>
      <c r="E89" s="1"/>
      <c r="F89" s="1"/>
      <c r="G89" s="1"/>
      <c r="H89" s="1"/>
      <c r="I89" s="119"/>
      <c r="J89" s="119"/>
      <c r="K89" s="254"/>
      <c r="L89" s="255" t="s">
        <v>254</v>
      </c>
      <c r="M89" s="200">
        <f>IF(J93&lt;D11,0,VLOOKUP(J93,C100:P155,6))</f>
        <v>3552021.8896915987</v>
      </c>
      <c r="N89" s="200">
        <f>IF(J93&lt;D11,0,VLOOKUP(J93,C100:P155,7))</f>
        <v>3552021.8896915987</v>
      </c>
      <c r="O89" s="201">
        <f>+N89-M89</f>
        <v>0</v>
      </c>
      <c r="P89" s="1"/>
      <c r="Q89" s="1"/>
      <c r="R89" s="1"/>
      <c r="S89" s="1"/>
      <c r="T89" s="1"/>
      <c r="U89" s="1"/>
    </row>
    <row r="90" spans="1:21" ht="13.5" thickBot="1">
      <c r="C90" s="124" t="s">
        <v>82</v>
      </c>
      <c r="D90" s="243" t="str">
        <f>+D7</f>
        <v xml:space="preserve">Canadian River - McAlester City 138 kV Line Conversion </v>
      </c>
      <c r="E90" s="1"/>
      <c r="F90" s="1"/>
      <c r="G90" s="1"/>
      <c r="H90" s="1"/>
      <c r="I90" s="3"/>
      <c r="J90" s="3"/>
      <c r="K90" s="256"/>
      <c r="L90" s="257" t="s">
        <v>135</v>
      </c>
      <c r="M90" s="203">
        <f>+M89-M88</f>
        <v>-252111.12404104881</v>
      </c>
      <c r="N90" s="203">
        <f>+N89-N88</f>
        <v>-252111.12404104881</v>
      </c>
      <c r="O90" s="204">
        <f>+O89-O88</f>
        <v>0</v>
      </c>
      <c r="P90" s="1"/>
      <c r="Q90" s="1"/>
      <c r="R90" s="1"/>
      <c r="S90" s="1"/>
      <c r="T90" s="1"/>
      <c r="U90" s="1"/>
    </row>
    <row r="91" spans="1:21" ht="13.5" thickBot="1">
      <c r="C91" s="172"/>
      <c r="D91" s="174" t="str">
        <f>IF(D8="","",D8)</f>
        <v/>
      </c>
      <c r="E91" s="108"/>
      <c r="F91" s="108"/>
      <c r="G91" s="108"/>
      <c r="H91" s="129"/>
      <c r="I91" s="3"/>
      <c r="J91" s="3"/>
      <c r="K91" s="112"/>
      <c r="L91" s="3"/>
      <c r="M91" s="3"/>
      <c r="N91" s="3"/>
      <c r="O91" s="112"/>
      <c r="P91" s="1"/>
      <c r="Q91" s="1"/>
      <c r="R91" s="1"/>
      <c r="S91" s="1"/>
      <c r="T91" s="1"/>
      <c r="U91" s="1"/>
    </row>
    <row r="92" spans="1:21" ht="13.5" thickBot="1">
      <c r="A92" s="104"/>
      <c r="C92" s="205" t="s">
        <v>83</v>
      </c>
      <c r="D92" s="223" t="str">
        <f>+D9</f>
        <v>TP2009095</v>
      </c>
      <c r="E92" s="206"/>
      <c r="F92" s="206"/>
      <c r="G92" s="206"/>
      <c r="H92" s="206"/>
      <c r="I92" s="206"/>
      <c r="J92" s="206"/>
      <c r="K92" s="207"/>
      <c r="P92" s="134"/>
      <c r="Q92" s="1"/>
      <c r="R92" s="1"/>
      <c r="S92" s="1"/>
      <c r="T92" s="1"/>
      <c r="U92" s="1"/>
    </row>
    <row r="93" spans="1:21">
      <c r="C93" s="139" t="s">
        <v>49</v>
      </c>
      <c r="D93" s="381">
        <f>D10</f>
        <v>28914235.739999998</v>
      </c>
      <c r="E93" s="23" t="s">
        <v>84</v>
      </c>
      <c r="H93" s="137"/>
      <c r="I93" s="137"/>
      <c r="J93" s="138">
        <f>+'OKT.WS.G.BPU.ATRR.True-up'!M16</f>
        <v>2018</v>
      </c>
      <c r="K93" s="133"/>
      <c r="L93" s="112" t="s">
        <v>85</v>
      </c>
      <c r="P93" s="4"/>
      <c r="Q93" s="1"/>
      <c r="R93" s="1"/>
      <c r="S93" s="1"/>
      <c r="T93" s="1"/>
      <c r="U93" s="1"/>
    </row>
    <row r="94" spans="1:21">
      <c r="C94" s="139" t="s">
        <v>52</v>
      </c>
      <c r="D94" s="218">
        <v>2013</v>
      </c>
      <c r="E94" s="139" t="s">
        <v>53</v>
      </c>
      <c r="F94" s="137"/>
      <c r="G94" s="137"/>
      <c r="J94" s="141">
        <f>IF(H88="",0,'OKT.WS.G.BPU.ATRR.True-up'!$F$13)</f>
        <v>0</v>
      </c>
      <c r="K94" s="142"/>
      <c r="L94" t="str">
        <f>"          INPUT TRUE-UP ARR (WITH &amp; WITHOUT INCENTIVES) FROM EACH PRIOR YEAR"</f>
        <v xml:space="preserve">          INPUT TRUE-UP ARR (WITH &amp; WITHOUT INCENTIVES) FROM EACH PRIOR YEAR</v>
      </c>
      <c r="P94" s="4"/>
      <c r="Q94" s="1"/>
      <c r="R94" s="1"/>
      <c r="S94" s="1"/>
      <c r="T94" s="1"/>
      <c r="U94" s="1"/>
    </row>
    <row r="95" spans="1:21">
      <c r="C95" s="139" t="s">
        <v>54</v>
      </c>
      <c r="D95" s="218">
        <v>8</v>
      </c>
      <c r="E95" s="139" t="s">
        <v>55</v>
      </c>
      <c r="F95" s="137"/>
      <c r="G95" s="137"/>
      <c r="J95" s="143">
        <f>'OKT.WS.G.BPU.ATRR.True-up'!$F$81</f>
        <v>0.10556244909908279</v>
      </c>
      <c r="K95" s="144"/>
      <c r="L95" t="s">
        <v>86</v>
      </c>
      <c r="P95" s="4"/>
      <c r="Q95" s="1"/>
      <c r="R95" s="1"/>
      <c r="S95" s="1"/>
      <c r="T95" s="1"/>
      <c r="U95" s="1"/>
    </row>
    <row r="96" spans="1:21">
      <c r="C96" s="139" t="s">
        <v>57</v>
      </c>
      <c r="D96" s="141">
        <f>'OKT.WS.G.BPU.ATRR.True-up'!F$93</f>
        <v>36</v>
      </c>
      <c r="E96" s="139" t="s">
        <v>58</v>
      </c>
      <c r="F96" s="137"/>
      <c r="G96" s="137"/>
      <c r="J96" s="143">
        <f>IF(H88="",J95,'OKT.WS.G.BPU.ATRR.True-up'!$F$80)</f>
        <v>0.10556244909908279</v>
      </c>
      <c r="K96" s="60"/>
      <c r="L96" s="112" t="s">
        <v>59</v>
      </c>
      <c r="M96" s="60"/>
      <c r="N96" s="60"/>
      <c r="O96" s="60"/>
      <c r="P96" s="4"/>
      <c r="Q96" s="1"/>
      <c r="R96" s="1"/>
      <c r="S96" s="1"/>
      <c r="T96" s="1"/>
      <c r="U96" s="1"/>
    </row>
    <row r="97" spans="1:21" ht="13.5" thickBot="1">
      <c r="C97" s="139" t="s">
        <v>60</v>
      </c>
      <c r="D97" s="219" t="str">
        <f>+D14</f>
        <v>No</v>
      </c>
      <c r="E97" s="202" t="s">
        <v>62</v>
      </c>
      <c r="F97" s="208"/>
      <c r="G97" s="208"/>
      <c r="H97" s="209"/>
      <c r="I97" s="209"/>
      <c r="J97" s="127">
        <f>IF(D93=0,0,D93/D96)</f>
        <v>803173.21499999997</v>
      </c>
      <c r="K97" s="112"/>
      <c r="L97" s="112"/>
      <c r="M97" s="112"/>
      <c r="N97" s="112"/>
      <c r="O97" s="112"/>
      <c r="P97" s="4"/>
      <c r="Q97" s="1"/>
      <c r="R97" s="1"/>
      <c r="S97" s="1"/>
      <c r="T97" s="1"/>
      <c r="U97" s="1"/>
    </row>
    <row r="98" spans="1:21" ht="38.25">
      <c r="A98" s="6"/>
      <c r="B98" s="6"/>
      <c r="C98" s="210" t="s">
        <v>49</v>
      </c>
      <c r="D98" s="339" t="s">
        <v>193</v>
      </c>
      <c r="E98" s="149" t="s">
        <v>63</v>
      </c>
      <c r="F98" s="149" t="s">
        <v>64</v>
      </c>
      <c r="G98" s="147" t="s">
        <v>87</v>
      </c>
      <c r="H98" s="448" t="s">
        <v>251</v>
      </c>
      <c r="I98" s="449" t="s">
        <v>252</v>
      </c>
      <c r="J98" s="210" t="s">
        <v>88</v>
      </c>
      <c r="K98" s="211"/>
      <c r="L98" s="319" t="s">
        <v>177</v>
      </c>
      <c r="M98" s="149" t="s">
        <v>89</v>
      </c>
      <c r="N98" s="319" t="s">
        <v>177</v>
      </c>
      <c r="O98" s="149" t="s">
        <v>89</v>
      </c>
      <c r="P98" s="149" t="s">
        <v>67</v>
      </c>
      <c r="Q98" s="1"/>
      <c r="R98" s="1"/>
      <c r="S98" s="1"/>
      <c r="T98" s="1"/>
      <c r="U98" s="1"/>
    </row>
    <row r="99" spans="1:21" ht="13.5" thickBot="1">
      <c r="C99" s="150" t="s">
        <v>68</v>
      </c>
      <c r="D99" s="212" t="s">
        <v>69</v>
      </c>
      <c r="E99" s="150" t="s">
        <v>70</v>
      </c>
      <c r="F99" s="150" t="s">
        <v>69</v>
      </c>
      <c r="G99" s="150" t="s">
        <v>69</v>
      </c>
      <c r="H99" s="301" t="s">
        <v>71</v>
      </c>
      <c r="I99" s="151" t="s">
        <v>72</v>
      </c>
      <c r="J99" s="152" t="s">
        <v>93</v>
      </c>
      <c r="K99" s="153"/>
      <c r="L99" s="154" t="s">
        <v>74</v>
      </c>
      <c r="M99" s="154" t="s">
        <v>74</v>
      </c>
      <c r="N99" s="154" t="s">
        <v>94</v>
      </c>
      <c r="O99" s="154" t="s">
        <v>94</v>
      </c>
      <c r="P99" s="154" t="s">
        <v>94</v>
      </c>
      <c r="Q99" s="1"/>
      <c r="R99" s="1"/>
      <c r="S99" s="1"/>
      <c r="T99" s="1"/>
      <c r="U99" s="1"/>
    </row>
    <row r="100" spans="1:21">
      <c r="B100" t="str">
        <f t="shared" ref="B100:B131" si="16">IF(D100=F99,"","IU")</f>
        <v>IU</v>
      </c>
      <c r="C100" s="155">
        <f>IF(D94= "","-",D94)</f>
        <v>2013</v>
      </c>
      <c r="D100" s="373">
        <v>0</v>
      </c>
      <c r="E100" s="375">
        <v>85919.706896551725</v>
      </c>
      <c r="F100" s="377">
        <v>9880766.293103449</v>
      </c>
      <c r="G100" s="378">
        <v>4940383.1465517245</v>
      </c>
      <c r="H100" s="378">
        <v>586624.79406989401</v>
      </c>
      <c r="I100" s="378">
        <v>586624.79406989401</v>
      </c>
      <c r="J100" s="160">
        <v>0</v>
      </c>
      <c r="K100" s="160"/>
      <c r="L100" s="318">
        <f>H100</f>
        <v>586624.79406989401</v>
      </c>
      <c r="M100" s="159">
        <f>IF(L100&lt;&gt;0,+H100-L100,0)</f>
        <v>0</v>
      </c>
      <c r="N100" s="318">
        <f>I100</f>
        <v>586624.79406989401</v>
      </c>
      <c r="O100" s="159">
        <f>IF(N100&lt;&gt;0,+I100-N100,0)</f>
        <v>0</v>
      </c>
      <c r="P100" s="159">
        <f>+O100-M100</f>
        <v>0</v>
      </c>
      <c r="Q100" s="1"/>
      <c r="R100" s="1"/>
      <c r="S100" s="1"/>
      <c r="T100" s="1"/>
      <c r="U100" s="1"/>
    </row>
    <row r="101" spans="1:21">
      <c r="B101" t="str">
        <f t="shared" si="16"/>
        <v>IU</v>
      </c>
      <c r="C101" s="155">
        <f>IF(D94="","-",+C100+1)</f>
        <v>2014</v>
      </c>
      <c r="D101" s="373">
        <v>28596480.293103449</v>
      </c>
      <c r="E101" s="375">
        <v>494524.13793103449</v>
      </c>
      <c r="F101" s="377">
        <v>28101956.155172415</v>
      </c>
      <c r="G101" s="377">
        <v>28349218.224137932</v>
      </c>
      <c r="H101" s="375">
        <v>3716695.0108773164</v>
      </c>
      <c r="I101" s="376">
        <v>3716695.0108773164</v>
      </c>
      <c r="J101" s="160">
        <v>0</v>
      </c>
      <c r="K101" s="160"/>
      <c r="L101" s="344">
        <f>H101</f>
        <v>3716695.0108773164</v>
      </c>
      <c r="M101" s="160">
        <f>IF(L101&lt;&gt;0,+H101-L101,0)</f>
        <v>0</v>
      </c>
      <c r="N101" s="344">
        <f>I101</f>
        <v>3716695.0108773164</v>
      </c>
      <c r="O101" s="160">
        <f>IF(N101&lt;&gt;0,+I101-N101,0)</f>
        <v>0</v>
      </c>
      <c r="P101" s="160">
        <f>+O101-M101</f>
        <v>0</v>
      </c>
      <c r="Q101" s="1"/>
      <c r="R101" s="1"/>
      <c r="S101" s="1"/>
      <c r="T101" s="1"/>
      <c r="U101" s="1"/>
    </row>
    <row r="102" spans="1:21">
      <c r="B102" t="str">
        <f t="shared" si="16"/>
        <v>IU</v>
      </c>
      <c r="C102" s="155">
        <f>IF(D94="","-",+C101+1)</f>
        <v>2015</v>
      </c>
      <c r="D102" s="373">
        <v>28333791.895172413</v>
      </c>
      <c r="E102" s="375">
        <v>602379.91125</v>
      </c>
      <c r="F102" s="377">
        <v>27731411.983922414</v>
      </c>
      <c r="G102" s="377">
        <v>28032601.939547412</v>
      </c>
      <c r="H102" s="375">
        <v>3723233.4671503431</v>
      </c>
      <c r="I102" s="376">
        <v>3723233.4671503431</v>
      </c>
      <c r="J102" s="160">
        <v>0</v>
      </c>
      <c r="K102" s="160"/>
      <c r="L102" s="344">
        <f>H102</f>
        <v>3723233.4671503431</v>
      </c>
      <c r="M102" s="160">
        <f>IF(L102&lt;&gt;0,+H102-L102,0)</f>
        <v>0</v>
      </c>
      <c r="N102" s="344">
        <f>I102</f>
        <v>3723233.4671503431</v>
      </c>
      <c r="O102" s="160">
        <f t="shared" ref="O102:O131" si="17">IF(N102&lt;&gt;0,+I102-N102,0)</f>
        <v>0</v>
      </c>
      <c r="P102" s="160">
        <f t="shared" ref="P102:P131" si="18">+O102-M102</f>
        <v>0</v>
      </c>
      <c r="Q102" s="1"/>
      <c r="R102" s="1"/>
      <c r="S102" s="1"/>
      <c r="T102" s="1"/>
      <c r="U102" s="1"/>
    </row>
    <row r="103" spans="1:21">
      <c r="B103" t="str">
        <f t="shared" si="16"/>
        <v/>
      </c>
      <c r="C103" s="155">
        <f>IF(D94="","-",+C102+1)</f>
        <v>2016</v>
      </c>
      <c r="D103" s="373">
        <v>27731411.983922414</v>
      </c>
      <c r="E103" s="375">
        <v>566945.79882352939</v>
      </c>
      <c r="F103" s="377">
        <v>27164466.185098886</v>
      </c>
      <c r="G103" s="377">
        <v>27447939.08451065</v>
      </c>
      <c r="H103" s="375">
        <v>3541464.1194634419</v>
      </c>
      <c r="I103" s="376">
        <v>3541464.1194634419</v>
      </c>
      <c r="J103" s="160">
        <f t="shared" ref="J103:J131" si="19">+I103-H103</f>
        <v>0</v>
      </c>
      <c r="K103" s="160"/>
      <c r="L103" s="344">
        <f>H103</f>
        <v>3541464.1194634419</v>
      </c>
      <c r="M103" s="160">
        <f>IF(L103&lt;&gt;0,+H103-L103,0)</f>
        <v>0</v>
      </c>
      <c r="N103" s="344">
        <f>I103</f>
        <v>3541464.1194634419</v>
      </c>
      <c r="O103" s="160">
        <f>IF(N103&lt;&gt;0,+I103-N103,0)</f>
        <v>0</v>
      </c>
      <c r="P103" s="160">
        <f>+O103-M103</f>
        <v>0</v>
      </c>
      <c r="Q103" s="1"/>
      <c r="R103" s="1"/>
      <c r="S103" s="1"/>
      <c r="T103" s="1"/>
      <c r="U103" s="1"/>
    </row>
    <row r="104" spans="1:21">
      <c r="B104" t="str">
        <f t="shared" si="16"/>
        <v/>
      </c>
      <c r="C104" s="155">
        <f>IF(D94="","-",+C103+1)</f>
        <v>2017</v>
      </c>
      <c r="D104" s="373">
        <v>27164466.185098886</v>
      </c>
      <c r="E104" s="375">
        <v>722855.89350000001</v>
      </c>
      <c r="F104" s="377">
        <v>26441610.291598886</v>
      </c>
      <c r="G104" s="377">
        <v>26803038.238348886</v>
      </c>
      <c r="H104" s="375">
        <v>3867813.548691513</v>
      </c>
      <c r="I104" s="376">
        <v>3867813.548691513</v>
      </c>
      <c r="J104" s="160">
        <f t="shared" si="19"/>
        <v>0</v>
      </c>
      <c r="K104" s="160"/>
      <c r="L104" s="344">
        <f>H104</f>
        <v>3867813.548691513</v>
      </c>
      <c r="M104" s="160">
        <f>IF(L104&lt;&gt;0,+H104-L104,0)</f>
        <v>0</v>
      </c>
      <c r="N104" s="344">
        <f>I104</f>
        <v>3867813.548691513</v>
      </c>
      <c r="O104" s="160">
        <f>IF(N104&lt;&gt;0,+I104-N104,0)</f>
        <v>0</v>
      </c>
      <c r="P104" s="160">
        <f>+O104-M104</f>
        <v>0</v>
      </c>
      <c r="Q104" s="1"/>
      <c r="R104" s="1"/>
      <c r="S104" s="1"/>
      <c r="T104" s="1"/>
      <c r="U104" s="1"/>
    </row>
    <row r="105" spans="1:21">
      <c r="B105" t="str">
        <f t="shared" si="16"/>
        <v/>
      </c>
      <c r="C105" s="155">
        <f>IF(D94="","-",+C104+1)</f>
        <v>2018</v>
      </c>
      <c r="D105" s="156">
        <f>IF(F104+SUM(E$100:E104)=D$93,F104,D$93-SUM(E$100:E104))</f>
        <v>26441610.291598886</v>
      </c>
      <c r="E105" s="162">
        <f>IF(+J97&lt;F104,J97,D105)</f>
        <v>803173.21499999997</v>
      </c>
      <c r="F105" s="161">
        <f t="shared" ref="F105:F132" si="20">+D105-E105</f>
        <v>25638437.076598886</v>
      </c>
      <c r="G105" s="161">
        <f t="shared" ref="G105:G131" si="21">+(F105+D105)/2</f>
        <v>26040023.684098884</v>
      </c>
      <c r="H105" s="165">
        <f t="shared" ref="H105:H131" si="22">+J$95*G105+E105</f>
        <v>3552021.8896915987</v>
      </c>
      <c r="I105" s="299">
        <f t="shared" ref="I105:I131" si="23">+J$96*G105+E105</f>
        <v>3552021.8896915987</v>
      </c>
      <c r="J105" s="160">
        <f t="shared" si="19"/>
        <v>0</v>
      </c>
      <c r="K105" s="160"/>
      <c r="L105" s="316"/>
      <c r="M105" s="160">
        <f t="shared" ref="M105:M131" si="24">IF(L105&lt;&gt;0,+H105-L105,0)</f>
        <v>0</v>
      </c>
      <c r="N105" s="316"/>
      <c r="O105" s="160">
        <f t="shared" si="17"/>
        <v>0</v>
      </c>
      <c r="P105" s="160">
        <f t="shared" si="18"/>
        <v>0</v>
      </c>
      <c r="Q105" s="1"/>
      <c r="R105" s="1"/>
      <c r="S105" s="1"/>
      <c r="T105" s="1"/>
      <c r="U105" s="1"/>
    </row>
    <row r="106" spans="1:21">
      <c r="B106" t="str">
        <f t="shared" si="16"/>
        <v/>
      </c>
      <c r="C106" s="155">
        <f>IF(D94="","-",+C105+1)</f>
        <v>2019</v>
      </c>
      <c r="D106" s="156">
        <f>IF(F105+SUM(E$100:E105)=D$93,F105,D$93-SUM(E$100:E105))</f>
        <v>25638437.076598886</v>
      </c>
      <c r="E106" s="162">
        <f>IF(+J97&lt;F105,J97,D106)</f>
        <v>803173.21499999997</v>
      </c>
      <c r="F106" s="161">
        <f t="shared" si="20"/>
        <v>24835263.861598887</v>
      </c>
      <c r="G106" s="161">
        <f t="shared" si="21"/>
        <v>25236850.469098888</v>
      </c>
      <c r="H106" s="165">
        <f t="shared" si="22"/>
        <v>3467236.9580654148</v>
      </c>
      <c r="I106" s="299">
        <f t="shared" si="23"/>
        <v>3467236.9580654148</v>
      </c>
      <c r="J106" s="160">
        <f t="shared" si="19"/>
        <v>0</v>
      </c>
      <c r="K106" s="160"/>
      <c r="L106" s="316"/>
      <c r="M106" s="160">
        <f t="shared" si="24"/>
        <v>0</v>
      </c>
      <c r="N106" s="316"/>
      <c r="O106" s="160">
        <f t="shared" si="17"/>
        <v>0</v>
      </c>
      <c r="P106" s="160">
        <f t="shared" si="18"/>
        <v>0</v>
      </c>
      <c r="Q106" s="1"/>
      <c r="R106" s="1"/>
      <c r="S106" s="1"/>
      <c r="T106" s="1"/>
      <c r="U106" s="1"/>
    </row>
    <row r="107" spans="1:21">
      <c r="B107" t="str">
        <f t="shared" si="16"/>
        <v/>
      </c>
      <c r="C107" s="155">
        <f>IF(D94="","-",+C106+1)</f>
        <v>2020</v>
      </c>
      <c r="D107" s="156">
        <f>IF(F106+SUM(E$100:E106)=D$93,F106,D$93-SUM(E$100:E106))</f>
        <v>24835263.861598887</v>
      </c>
      <c r="E107" s="162">
        <f>IF(+J97&lt;F106,J97,D107)</f>
        <v>803173.21499999997</v>
      </c>
      <c r="F107" s="161">
        <f t="shared" si="20"/>
        <v>24032090.646598887</v>
      </c>
      <c r="G107" s="161">
        <f t="shared" si="21"/>
        <v>24433677.254098885</v>
      </c>
      <c r="H107" s="165">
        <f t="shared" si="22"/>
        <v>3382452.0264392304</v>
      </c>
      <c r="I107" s="299">
        <f t="shared" si="23"/>
        <v>3382452.0264392304</v>
      </c>
      <c r="J107" s="160">
        <f t="shared" si="19"/>
        <v>0</v>
      </c>
      <c r="K107" s="160"/>
      <c r="L107" s="316"/>
      <c r="M107" s="160">
        <f t="shared" si="24"/>
        <v>0</v>
      </c>
      <c r="N107" s="316"/>
      <c r="O107" s="160">
        <f t="shared" si="17"/>
        <v>0</v>
      </c>
      <c r="P107" s="160">
        <f t="shared" si="18"/>
        <v>0</v>
      </c>
      <c r="Q107" s="1"/>
      <c r="R107" s="1"/>
      <c r="S107" s="1"/>
      <c r="T107" s="1"/>
      <c r="U107" s="1"/>
    </row>
    <row r="108" spans="1:21">
      <c r="B108" t="str">
        <f t="shared" si="16"/>
        <v/>
      </c>
      <c r="C108" s="155">
        <f>IF(D94="","-",+C107+1)</f>
        <v>2021</v>
      </c>
      <c r="D108" s="156">
        <f>IF(F107+SUM(E$100:E107)=D$93,F107,D$93-SUM(E$100:E107))</f>
        <v>24032090.646598887</v>
      </c>
      <c r="E108" s="162">
        <f>IF(+J97&lt;F107,J97,D108)</f>
        <v>803173.21499999997</v>
      </c>
      <c r="F108" s="161">
        <f t="shared" si="20"/>
        <v>23228917.431598887</v>
      </c>
      <c r="G108" s="161">
        <f t="shared" si="21"/>
        <v>23630504.039098889</v>
      </c>
      <c r="H108" s="165">
        <f t="shared" si="22"/>
        <v>3297667.0948130465</v>
      </c>
      <c r="I108" s="299">
        <f t="shared" si="23"/>
        <v>3297667.0948130465</v>
      </c>
      <c r="J108" s="160">
        <f t="shared" si="19"/>
        <v>0</v>
      </c>
      <c r="K108" s="160"/>
      <c r="L108" s="316"/>
      <c r="M108" s="160">
        <f t="shared" si="24"/>
        <v>0</v>
      </c>
      <c r="N108" s="316"/>
      <c r="O108" s="160">
        <f t="shared" si="17"/>
        <v>0</v>
      </c>
      <c r="P108" s="160">
        <f t="shared" si="18"/>
        <v>0</v>
      </c>
      <c r="Q108" s="1"/>
      <c r="R108" s="1"/>
      <c r="S108" s="1"/>
      <c r="T108" s="1"/>
      <c r="U108" s="1"/>
    </row>
    <row r="109" spans="1:21">
      <c r="B109" t="str">
        <f t="shared" si="16"/>
        <v/>
      </c>
      <c r="C109" s="155">
        <f>IF(D94="","-",+C108+1)</f>
        <v>2022</v>
      </c>
      <c r="D109" s="156">
        <f>IF(F108+SUM(E$100:E108)=D$93,F108,D$93-SUM(E$100:E108))</f>
        <v>23228917.431598887</v>
      </c>
      <c r="E109" s="162">
        <f>IF(+J97&lt;F108,J97,D109)</f>
        <v>803173.21499999997</v>
      </c>
      <c r="F109" s="161">
        <f t="shared" si="20"/>
        <v>22425744.216598887</v>
      </c>
      <c r="G109" s="161">
        <f t="shared" si="21"/>
        <v>22827330.824098885</v>
      </c>
      <c r="H109" s="165">
        <f t="shared" si="22"/>
        <v>3212882.1631868621</v>
      </c>
      <c r="I109" s="299">
        <f t="shared" si="23"/>
        <v>3212882.1631868621</v>
      </c>
      <c r="J109" s="160">
        <f t="shared" si="19"/>
        <v>0</v>
      </c>
      <c r="K109" s="160"/>
      <c r="L109" s="316"/>
      <c r="M109" s="160">
        <f t="shared" si="24"/>
        <v>0</v>
      </c>
      <c r="N109" s="316"/>
      <c r="O109" s="160">
        <f t="shared" si="17"/>
        <v>0</v>
      </c>
      <c r="P109" s="160">
        <f t="shared" si="18"/>
        <v>0</v>
      </c>
      <c r="Q109" s="1"/>
      <c r="R109" s="1"/>
      <c r="S109" s="1"/>
      <c r="T109" s="1"/>
      <c r="U109" s="1"/>
    </row>
    <row r="110" spans="1:21">
      <c r="B110" t="str">
        <f t="shared" si="16"/>
        <v/>
      </c>
      <c r="C110" s="155">
        <f>IF(D94="","-",+C109+1)</f>
        <v>2023</v>
      </c>
      <c r="D110" s="156">
        <f>IF(F109+SUM(E$100:E109)=D$93,F109,D$93-SUM(E$100:E109))</f>
        <v>22425744.216598887</v>
      </c>
      <c r="E110" s="162">
        <f>IF(+J97&lt;F109,J97,D110)</f>
        <v>803173.21499999997</v>
      </c>
      <c r="F110" s="161">
        <f t="shared" si="20"/>
        <v>21622571.001598887</v>
      </c>
      <c r="G110" s="161">
        <f t="shared" si="21"/>
        <v>22024157.609098889</v>
      </c>
      <c r="H110" s="165">
        <f t="shared" si="22"/>
        <v>3128097.2315606782</v>
      </c>
      <c r="I110" s="299">
        <f t="shared" si="23"/>
        <v>3128097.2315606782</v>
      </c>
      <c r="J110" s="160">
        <f t="shared" si="19"/>
        <v>0</v>
      </c>
      <c r="K110" s="160"/>
      <c r="L110" s="316"/>
      <c r="M110" s="160">
        <f t="shared" si="24"/>
        <v>0</v>
      </c>
      <c r="N110" s="316"/>
      <c r="O110" s="160">
        <f t="shared" si="17"/>
        <v>0</v>
      </c>
      <c r="P110" s="160">
        <f t="shared" si="18"/>
        <v>0</v>
      </c>
      <c r="Q110" s="1"/>
      <c r="R110" s="1"/>
      <c r="S110" s="1"/>
      <c r="T110" s="1"/>
      <c r="U110" s="1"/>
    </row>
    <row r="111" spans="1:21">
      <c r="B111" t="str">
        <f t="shared" si="16"/>
        <v/>
      </c>
      <c r="C111" s="155">
        <f>IF(D94="","-",+C110+1)</f>
        <v>2024</v>
      </c>
      <c r="D111" s="156">
        <f>IF(F110+SUM(E$100:E110)=D$93,F110,D$93-SUM(E$100:E110))</f>
        <v>21622571.001598887</v>
      </c>
      <c r="E111" s="162">
        <f>IF(+J97&lt;F110,J97,D111)</f>
        <v>803173.21499999997</v>
      </c>
      <c r="F111" s="161">
        <f t="shared" si="20"/>
        <v>20819397.786598887</v>
      </c>
      <c r="G111" s="161">
        <f t="shared" si="21"/>
        <v>21220984.394098885</v>
      </c>
      <c r="H111" s="165">
        <f t="shared" si="22"/>
        <v>3043312.2999344934</v>
      </c>
      <c r="I111" s="299">
        <f t="shared" si="23"/>
        <v>3043312.2999344934</v>
      </c>
      <c r="J111" s="160">
        <f t="shared" si="19"/>
        <v>0</v>
      </c>
      <c r="K111" s="160"/>
      <c r="L111" s="316"/>
      <c r="M111" s="160">
        <f t="shared" si="24"/>
        <v>0</v>
      </c>
      <c r="N111" s="316"/>
      <c r="O111" s="160">
        <f t="shared" si="17"/>
        <v>0</v>
      </c>
      <c r="P111" s="160">
        <f t="shared" si="18"/>
        <v>0</v>
      </c>
      <c r="Q111" s="1"/>
      <c r="R111" s="1"/>
      <c r="S111" s="1"/>
      <c r="T111" s="1"/>
      <c r="U111" s="1"/>
    </row>
    <row r="112" spans="1:21">
      <c r="B112" t="str">
        <f t="shared" si="16"/>
        <v/>
      </c>
      <c r="C112" s="155">
        <f>IF(D94="","-",+C111+1)</f>
        <v>2025</v>
      </c>
      <c r="D112" s="156">
        <f>IF(F111+SUM(E$100:E111)=D$93,F111,D$93-SUM(E$100:E111))</f>
        <v>20819397.786598887</v>
      </c>
      <c r="E112" s="162">
        <f>IF(+J97&lt;F111,J97,D112)</f>
        <v>803173.21499999997</v>
      </c>
      <c r="F112" s="161">
        <f t="shared" si="20"/>
        <v>20016224.571598887</v>
      </c>
      <c r="G112" s="161">
        <f t="shared" si="21"/>
        <v>20417811.179098889</v>
      </c>
      <c r="H112" s="165">
        <f t="shared" si="22"/>
        <v>2958527.3683083099</v>
      </c>
      <c r="I112" s="299">
        <f t="shared" si="23"/>
        <v>2958527.3683083099</v>
      </c>
      <c r="J112" s="160">
        <f t="shared" si="19"/>
        <v>0</v>
      </c>
      <c r="K112" s="160"/>
      <c r="L112" s="316"/>
      <c r="M112" s="160">
        <f t="shared" si="24"/>
        <v>0</v>
      </c>
      <c r="N112" s="316"/>
      <c r="O112" s="160">
        <f t="shared" si="17"/>
        <v>0</v>
      </c>
      <c r="P112" s="160">
        <f t="shared" si="18"/>
        <v>0</v>
      </c>
      <c r="Q112" s="1"/>
      <c r="R112" s="1"/>
      <c r="S112" s="1"/>
      <c r="T112" s="1"/>
      <c r="U112" s="1"/>
    </row>
    <row r="113" spans="2:21">
      <c r="B113" t="str">
        <f t="shared" si="16"/>
        <v/>
      </c>
      <c r="C113" s="155">
        <f>IF(D94="","-",+C112+1)</f>
        <v>2026</v>
      </c>
      <c r="D113" s="156">
        <f>IF(F112+SUM(E$100:E112)=D$93,F112,D$93-SUM(E$100:E112))</f>
        <v>20016224.571598887</v>
      </c>
      <c r="E113" s="162">
        <f>IF(+J97&lt;F112,J97,D113)</f>
        <v>803173.21499999997</v>
      </c>
      <c r="F113" s="161">
        <f t="shared" si="20"/>
        <v>19213051.356598888</v>
      </c>
      <c r="G113" s="161">
        <f t="shared" si="21"/>
        <v>19614637.964098886</v>
      </c>
      <c r="H113" s="165">
        <f t="shared" si="22"/>
        <v>2873742.4366821256</v>
      </c>
      <c r="I113" s="299">
        <f t="shared" si="23"/>
        <v>2873742.4366821256</v>
      </c>
      <c r="J113" s="160">
        <f t="shared" si="19"/>
        <v>0</v>
      </c>
      <c r="K113" s="160"/>
      <c r="L113" s="316"/>
      <c r="M113" s="160">
        <f t="shared" si="24"/>
        <v>0</v>
      </c>
      <c r="N113" s="316"/>
      <c r="O113" s="160">
        <f t="shared" si="17"/>
        <v>0</v>
      </c>
      <c r="P113" s="160">
        <f t="shared" si="18"/>
        <v>0</v>
      </c>
      <c r="Q113" s="1"/>
      <c r="R113" s="1"/>
      <c r="S113" s="1"/>
      <c r="T113" s="1"/>
      <c r="U113" s="1"/>
    </row>
    <row r="114" spans="2:21">
      <c r="B114" t="str">
        <f t="shared" si="16"/>
        <v/>
      </c>
      <c r="C114" s="155">
        <f>IF(D94="","-",+C113+1)</f>
        <v>2027</v>
      </c>
      <c r="D114" s="156">
        <f>IF(F113+SUM(E$100:E113)=D$93,F113,D$93-SUM(E$100:E113))</f>
        <v>19213051.356598888</v>
      </c>
      <c r="E114" s="162">
        <f>IF(+J97&lt;F113,J97,D114)</f>
        <v>803173.21499999997</v>
      </c>
      <c r="F114" s="161">
        <f t="shared" si="20"/>
        <v>18409878.141598888</v>
      </c>
      <c r="G114" s="161">
        <f t="shared" si="21"/>
        <v>18811464.74909889</v>
      </c>
      <c r="H114" s="165">
        <f t="shared" si="22"/>
        <v>2788957.5050559416</v>
      </c>
      <c r="I114" s="299">
        <f t="shared" si="23"/>
        <v>2788957.5050559416</v>
      </c>
      <c r="J114" s="160">
        <f t="shared" si="19"/>
        <v>0</v>
      </c>
      <c r="K114" s="160"/>
      <c r="L114" s="316"/>
      <c r="M114" s="160">
        <f t="shared" si="24"/>
        <v>0</v>
      </c>
      <c r="N114" s="316"/>
      <c r="O114" s="160">
        <f t="shared" si="17"/>
        <v>0</v>
      </c>
      <c r="P114" s="160">
        <f t="shared" si="18"/>
        <v>0</v>
      </c>
      <c r="Q114" s="1"/>
      <c r="R114" s="1"/>
      <c r="S114" s="1"/>
      <c r="T114" s="1"/>
      <c r="U114" s="1"/>
    </row>
    <row r="115" spans="2:21">
      <c r="B115" t="str">
        <f t="shared" si="16"/>
        <v/>
      </c>
      <c r="C115" s="155">
        <f>IF(D94="","-",+C114+1)</f>
        <v>2028</v>
      </c>
      <c r="D115" s="156">
        <f>IF(F114+SUM(E$100:E114)=D$93,F114,D$93-SUM(E$100:E114))</f>
        <v>18409878.141598888</v>
      </c>
      <c r="E115" s="162">
        <f>IF(+J97&lt;F114,J97,D115)</f>
        <v>803173.21499999997</v>
      </c>
      <c r="F115" s="161">
        <f t="shared" si="20"/>
        <v>17606704.926598888</v>
      </c>
      <c r="G115" s="161">
        <f t="shared" si="21"/>
        <v>18008291.534098886</v>
      </c>
      <c r="H115" s="165">
        <f t="shared" si="22"/>
        <v>2704172.5734297573</v>
      </c>
      <c r="I115" s="299">
        <f t="shared" si="23"/>
        <v>2704172.5734297573</v>
      </c>
      <c r="J115" s="160">
        <f t="shared" si="19"/>
        <v>0</v>
      </c>
      <c r="K115" s="160"/>
      <c r="L115" s="316"/>
      <c r="M115" s="160">
        <f t="shared" si="24"/>
        <v>0</v>
      </c>
      <c r="N115" s="316"/>
      <c r="O115" s="160">
        <f t="shared" si="17"/>
        <v>0</v>
      </c>
      <c r="P115" s="160">
        <f t="shared" si="18"/>
        <v>0</v>
      </c>
      <c r="Q115" s="1"/>
      <c r="R115" s="1"/>
      <c r="S115" s="1"/>
      <c r="T115" s="1"/>
      <c r="U115" s="1"/>
    </row>
    <row r="116" spans="2:21">
      <c r="B116" t="str">
        <f t="shared" si="16"/>
        <v/>
      </c>
      <c r="C116" s="155">
        <f>IF(D94="","-",+C115+1)</f>
        <v>2029</v>
      </c>
      <c r="D116" s="156">
        <f>IF(F115+SUM(E$100:E115)=D$93,F115,D$93-SUM(E$100:E115))</f>
        <v>17606704.926598888</v>
      </c>
      <c r="E116" s="162">
        <f>IF(+J97&lt;F115,J97,D116)</f>
        <v>803173.21499999997</v>
      </c>
      <c r="F116" s="161">
        <f t="shared" si="20"/>
        <v>16803531.711598888</v>
      </c>
      <c r="G116" s="161">
        <f t="shared" si="21"/>
        <v>17205118.31909889</v>
      </c>
      <c r="H116" s="165">
        <f t="shared" si="22"/>
        <v>2619387.6418035734</v>
      </c>
      <c r="I116" s="299">
        <f t="shared" si="23"/>
        <v>2619387.6418035734</v>
      </c>
      <c r="J116" s="160">
        <f t="shared" si="19"/>
        <v>0</v>
      </c>
      <c r="K116" s="160"/>
      <c r="L116" s="316"/>
      <c r="M116" s="160">
        <f t="shared" si="24"/>
        <v>0</v>
      </c>
      <c r="N116" s="316"/>
      <c r="O116" s="160">
        <f t="shared" si="17"/>
        <v>0</v>
      </c>
      <c r="P116" s="160">
        <f t="shared" si="18"/>
        <v>0</v>
      </c>
      <c r="Q116" s="1"/>
      <c r="R116" s="1"/>
      <c r="S116" s="1"/>
      <c r="T116" s="1"/>
      <c r="U116" s="1"/>
    </row>
    <row r="117" spans="2:21">
      <c r="B117" t="str">
        <f t="shared" si="16"/>
        <v/>
      </c>
      <c r="C117" s="155">
        <f>IF(D94="","-",+C116+1)</f>
        <v>2030</v>
      </c>
      <c r="D117" s="156">
        <f>IF(F116+SUM(E$100:E116)=D$93,F116,D$93-SUM(E$100:E116))</f>
        <v>16803531.711598888</v>
      </c>
      <c r="E117" s="162">
        <f>IF(+J97&lt;F116,J97,D117)</f>
        <v>803173.21499999997</v>
      </c>
      <c r="F117" s="161">
        <f t="shared" si="20"/>
        <v>16000358.496598888</v>
      </c>
      <c r="G117" s="161">
        <f t="shared" si="21"/>
        <v>16401945.104098888</v>
      </c>
      <c r="H117" s="165">
        <f t="shared" si="22"/>
        <v>2534602.710177389</v>
      </c>
      <c r="I117" s="299">
        <f t="shared" si="23"/>
        <v>2534602.710177389</v>
      </c>
      <c r="J117" s="160">
        <f t="shared" si="19"/>
        <v>0</v>
      </c>
      <c r="K117" s="160"/>
      <c r="L117" s="316"/>
      <c r="M117" s="160">
        <f t="shared" si="24"/>
        <v>0</v>
      </c>
      <c r="N117" s="316"/>
      <c r="O117" s="160">
        <f t="shared" si="17"/>
        <v>0</v>
      </c>
      <c r="P117" s="160">
        <f t="shared" si="18"/>
        <v>0</v>
      </c>
      <c r="Q117" s="1"/>
      <c r="R117" s="1"/>
      <c r="S117" s="1"/>
      <c r="T117" s="1"/>
      <c r="U117" s="1"/>
    </row>
    <row r="118" spans="2:21">
      <c r="B118" t="str">
        <f t="shared" si="16"/>
        <v/>
      </c>
      <c r="C118" s="155">
        <f>IF(D94="","-",+C117+1)</f>
        <v>2031</v>
      </c>
      <c r="D118" s="156">
        <f>IF(F117+SUM(E$100:E117)=D$93,F117,D$93-SUM(E$100:E117))</f>
        <v>16000358.496598888</v>
      </c>
      <c r="E118" s="162">
        <f>IF(+J97&lt;F117,J97,D118)</f>
        <v>803173.21499999997</v>
      </c>
      <c r="F118" s="161">
        <f t="shared" si="20"/>
        <v>15197185.281598888</v>
      </c>
      <c r="G118" s="161">
        <f t="shared" si="21"/>
        <v>15598771.889098888</v>
      </c>
      <c r="H118" s="165">
        <f t="shared" si="22"/>
        <v>2449817.7785512046</v>
      </c>
      <c r="I118" s="299">
        <f t="shared" si="23"/>
        <v>2449817.7785512046</v>
      </c>
      <c r="J118" s="160">
        <f t="shared" si="19"/>
        <v>0</v>
      </c>
      <c r="K118" s="160"/>
      <c r="L118" s="316"/>
      <c r="M118" s="160">
        <f t="shared" si="24"/>
        <v>0</v>
      </c>
      <c r="N118" s="316"/>
      <c r="O118" s="160">
        <f t="shared" si="17"/>
        <v>0</v>
      </c>
      <c r="P118" s="160">
        <f t="shared" si="18"/>
        <v>0</v>
      </c>
      <c r="Q118" s="1"/>
      <c r="R118" s="1"/>
      <c r="S118" s="1"/>
      <c r="T118" s="1"/>
      <c r="U118" s="1"/>
    </row>
    <row r="119" spans="2:21">
      <c r="B119" t="str">
        <f t="shared" si="16"/>
        <v/>
      </c>
      <c r="C119" s="155">
        <f>IF(D94="","-",+C118+1)</f>
        <v>2032</v>
      </c>
      <c r="D119" s="156">
        <f>IF(F118+SUM(E$100:E118)=D$93,F118,D$93-SUM(E$100:E118))</f>
        <v>15197185.281598888</v>
      </c>
      <c r="E119" s="162">
        <f>IF(+J97&lt;F118,J97,D119)</f>
        <v>803173.21499999997</v>
      </c>
      <c r="F119" s="161">
        <f t="shared" si="20"/>
        <v>14394012.066598888</v>
      </c>
      <c r="G119" s="161">
        <f t="shared" si="21"/>
        <v>14795598.674098888</v>
      </c>
      <c r="H119" s="165">
        <f t="shared" si="22"/>
        <v>2365032.8469250207</v>
      </c>
      <c r="I119" s="299">
        <f t="shared" si="23"/>
        <v>2365032.8469250207</v>
      </c>
      <c r="J119" s="160">
        <f t="shared" si="19"/>
        <v>0</v>
      </c>
      <c r="K119" s="160"/>
      <c r="L119" s="316"/>
      <c r="M119" s="160">
        <f t="shared" si="24"/>
        <v>0</v>
      </c>
      <c r="N119" s="316"/>
      <c r="O119" s="160">
        <f t="shared" si="17"/>
        <v>0</v>
      </c>
      <c r="P119" s="160">
        <f t="shared" si="18"/>
        <v>0</v>
      </c>
      <c r="Q119" s="1"/>
      <c r="R119" s="1"/>
      <c r="S119" s="1"/>
      <c r="T119" s="1"/>
      <c r="U119" s="1"/>
    </row>
    <row r="120" spans="2:21">
      <c r="B120" t="str">
        <f t="shared" si="16"/>
        <v/>
      </c>
      <c r="C120" s="155">
        <f>IF(D94="","-",+C119+1)</f>
        <v>2033</v>
      </c>
      <c r="D120" s="156">
        <f>IF(F119+SUM(E$100:E119)=D$93,F119,D$93-SUM(E$100:E119))</f>
        <v>14394012.066598888</v>
      </c>
      <c r="E120" s="162">
        <f>IF(+J97&lt;F119,J97,D120)</f>
        <v>803173.21499999997</v>
      </c>
      <c r="F120" s="161">
        <f t="shared" si="20"/>
        <v>13590838.851598889</v>
      </c>
      <c r="G120" s="161">
        <f t="shared" si="21"/>
        <v>13992425.459098889</v>
      </c>
      <c r="H120" s="165">
        <f t="shared" si="22"/>
        <v>2280247.9152988363</v>
      </c>
      <c r="I120" s="299">
        <f t="shared" si="23"/>
        <v>2280247.9152988363</v>
      </c>
      <c r="J120" s="160">
        <f t="shared" si="19"/>
        <v>0</v>
      </c>
      <c r="K120" s="160"/>
      <c r="L120" s="316"/>
      <c r="M120" s="160">
        <f t="shared" si="24"/>
        <v>0</v>
      </c>
      <c r="N120" s="316"/>
      <c r="O120" s="160">
        <f t="shared" si="17"/>
        <v>0</v>
      </c>
      <c r="P120" s="160">
        <f t="shared" si="18"/>
        <v>0</v>
      </c>
      <c r="Q120" s="1"/>
      <c r="R120" s="1"/>
      <c r="S120" s="1"/>
      <c r="T120" s="1"/>
      <c r="U120" s="1"/>
    </row>
    <row r="121" spans="2:21">
      <c r="B121" t="str">
        <f t="shared" si="16"/>
        <v/>
      </c>
      <c r="C121" s="155">
        <f>IF(D94="","-",+C120+1)</f>
        <v>2034</v>
      </c>
      <c r="D121" s="156">
        <f>IF(F120+SUM(E$100:E120)=D$93,F120,D$93-SUM(E$100:E120))</f>
        <v>13590838.851598889</v>
      </c>
      <c r="E121" s="162">
        <f>IF(+J97&lt;F120,J97,D121)</f>
        <v>803173.21499999997</v>
      </c>
      <c r="F121" s="161">
        <f t="shared" si="20"/>
        <v>12787665.636598889</v>
      </c>
      <c r="G121" s="161">
        <f t="shared" si="21"/>
        <v>13189252.244098889</v>
      </c>
      <c r="H121" s="165">
        <f t="shared" si="22"/>
        <v>2195462.9836726524</v>
      </c>
      <c r="I121" s="299">
        <f t="shared" si="23"/>
        <v>2195462.9836726524</v>
      </c>
      <c r="J121" s="160">
        <f t="shared" si="19"/>
        <v>0</v>
      </c>
      <c r="K121" s="160"/>
      <c r="L121" s="316"/>
      <c r="M121" s="160">
        <f t="shared" si="24"/>
        <v>0</v>
      </c>
      <c r="N121" s="316"/>
      <c r="O121" s="160">
        <f t="shared" si="17"/>
        <v>0</v>
      </c>
      <c r="P121" s="160">
        <f t="shared" si="18"/>
        <v>0</v>
      </c>
      <c r="Q121" s="1"/>
      <c r="R121" s="1"/>
      <c r="S121" s="1"/>
      <c r="T121" s="1"/>
      <c r="U121" s="1"/>
    </row>
    <row r="122" spans="2:21">
      <c r="B122" t="str">
        <f t="shared" si="16"/>
        <v/>
      </c>
      <c r="C122" s="155">
        <f>IF(D94="","-",+C121+1)</f>
        <v>2035</v>
      </c>
      <c r="D122" s="156">
        <f>IF(F121+SUM(E$100:E121)=D$93,F121,D$93-SUM(E$100:E121))</f>
        <v>12787665.636598889</v>
      </c>
      <c r="E122" s="162">
        <f>IF(+J97&lt;F121,J97,D122)</f>
        <v>803173.21499999997</v>
      </c>
      <c r="F122" s="161">
        <f t="shared" si="20"/>
        <v>11984492.421598889</v>
      </c>
      <c r="G122" s="161">
        <f t="shared" si="21"/>
        <v>12386079.029098889</v>
      </c>
      <c r="H122" s="165">
        <f t="shared" si="22"/>
        <v>2110678.052046468</v>
      </c>
      <c r="I122" s="299">
        <f t="shared" si="23"/>
        <v>2110678.052046468</v>
      </c>
      <c r="J122" s="160">
        <f t="shared" si="19"/>
        <v>0</v>
      </c>
      <c r="K122" s="160"/>
      <c r="L122" s="316"/>
      <c r="M122" s="160">
        <f t="shared" si="24"/>
        <v>0</v>
      </c>
      <c r="N122" s="316"/>
      <c r="O122" s="160">
        <f t="shared" si="17"/>
        <v>0</v>
      </c>
      <c r="P122" s="160">
        <f t="shared" si="18"/>
        <v>0</v>
      </c>
      <c r="Q122" s="1"/>
      <c r="R122" s="1"/>
      <c r="S122" s="1"/>
      <c r="T122" s="1"/>
      <c r="U122" s="1"/>
    </row>
    <row r="123" spans="2:21">
      <c r="B123" t="str">
        <f t="shared" si="16"/>
        <v/>
      </c>
      <c r="C123" s="155">
        <f>IF(D94="","-",+C122+1)</f>
        <v>2036</v>
      </c>
      <c r="D123" s="156">
        <f>IF(F122+SUM(E$100:E122)=D$93,F122,D$93-SUM(E$100:E122))</f>
        <v>11984492.421598889</v>
      </c>
      <c r="E123" s="162">
        <f>IF(+J97&lt;F122,J97,D123)</f>
        <v>803173.21499999997</v>
      </c>
      <c r="F123" s="161">
        <f t="shared" si="20"/>
        <v>11181319.206598889</v>
      </c>
      <c r="G123" s="161">
        <f t="shared" si="21"/>
        <v>11582905.814098889</v>
      </c>
      <c r="H123" s="165">
        <f t="shared" si="22"/>
        <v>2025893.1204202841</v>
      </c>
      <c r="I123" s="299">
        <f t="shared" si="23"/>
        <v>2025893.1204202841</v>
      </c>
      <c r="J123" s="160">
        <f t="shared" si="19"/>
        <v>0</v>
      </c>
      <c r="K123" s="160"/>
      <c r="L123" s="316"/>
      <c r="M123" s="160">
        <f t="shared" si="24"/>
        <v>0</v>
      </c>
      <c r="N123" s="316"/>
      <c r="O123" s="160">
        <f t="shared" si="17"/>
        <v>0</v>
      </c>
      <c r="P123" s="160">
        <f t="shared" si="18"/>
        <v>0</v>
      </c>
      <c r="Q123" s="1"/>
      <c r="R123" s="1"/>
      <c r="S123" s="1"/>
      <c r="T123" s="1"/>
      <c r="U123" s="1"/>
    </row>
    <row r="124" spans="2:21">
      <c r="B124" t="str">
        <f t="shared" si="16"/>
        <v/>
      </c>
      <c r="C124" s="155">
        <f>IF(D94="","-",+C123+1)</f>
        <v>2037</v>
      </c>
      <c r="D124" s="156">
        <f>IF(F123+SUM(E$100:E123)=D$93,F123,D$93-SUM(E$100:E123))</f>
        <v>11181319.206598889</v>
      </c>
      <c r="E124" s="162">
        <f>IF(+J97&lt;F123,J97,D124)</f>
        <v>803173.21499999997</v>
      </c>
      <c r="F124" s="161">
        <f t="shared" si="20"/>
        <v>10378145.991598889</v>
      </c>
      <c r="G124" s="161">
        <f t="shared" si="21"/>
        <v>10779732.599098889</v>
      </c>
      <c r="H124" s="165">
        <f t="shared" si="22"/>
        <v>1941108.1887940997</v>
      </c>
      <c r="I124" s="299">
        <f t="shared" si="23"/>
        <v>1941108.1887940997</v>
      </c>
      <c r="J124" s="160">
        <f t="shared" si="19"/>
        <v>0</v>
      </c>
      <c r="K124" s="160"/>
      <c r="L124" s="316"/>
      <c r="M124" s="160">
        <f t="shared" si="24"/>
        <v>0</v>
      </c>
      <c r="N124" s="316"/>
      <c r="O124" s="160">
        <f t="shared" si="17"/>
        <v>0</v>
      </c>
      <c r="P124" s="160">
        <f t="shared" si="18"/>
        <v>0</v>
      </c>
      <c r="Q124" s="1"/>
      <c r="R124" s="1"/>
      <c r="S124" s="1"/>
      <c r="T124" s="1"/>
      <c r="U124" s="1"/>
    </row>
    <row r="125" spans="2:21">
      <c r="B125" t="str">
        <f t="shared" si="16"/>
        <v/>
      </c>
      <c r="C125" s="155">
        <f>IF(D94="","-",+C124+1)</f>
        <v>2038</v>
      </c>
      <c r="D125" s="156">
        <f>IF(F124+SUM(E$100:E124)=D$93,F124,D$93-SUM(E$100:E124))</f>
        <v>10378145.991598889</v>
      </c>
      <c r="E125" s="162">
        <f>IF(+J97&lt;F124,J97,D125)</f>
        <v>803173.21499999997</v>
      </c>
      <c r="F125" s="161">
        <f t="shared" si="20"/>
        <v>9574972.7765988894</v>
      </c>
      <c r="G125" s="161">
        <f t="shared" si="21"/>
        <v>9976559.3840988893</v>
      </c>
      <c r="H125" s="165">
        <f t="shared" si="22"/>
        <v>1856323.2571679158</v>
      </c>
      <c r="I125" s="299">
        <f t="shared" si="23"/>
        <v>1856323.2571679158</v>
      </c>
      <c r="J125" s="160">
        <f t="shared" si="19"/>
        <v>0</v>
      </c>
      <c r="K125" s="160"/>
      <c r="L125" s="316"/>
      <c r="M125" s="160">
        <f t="shared" si="24"/>
        <v>0</v>
      </c>
      <c r="N125" s="316"/>
      <c r="O125" s="160">
        <f t="shared" si="17"/>
        <v>0</v>
      </c>
      <c r="P125" s="160">
        <f t="shared" si="18"/>
        <v>0</v>
      </c>
      <c r="Q125" s="1"/>
      <c r="R125" s="1"/>
      <c r="S125" s="1"/>
      <c r="T125" s="1"/>
      <c r="U125" s="1"/>
    </row>
    <row r="126" spans="2:21">
      <c r="B126" t="str">
        <f t="shared" si="16"/>
        <v/>
      </c>
      <c r="C126" s="155">
        <f>IF(D94="","-",+C125+1)</f>
        <v>2039</v>
      </c>
      <c r="D126" s="156">
        <f>IF(F125+SUM(E$100:E125)=D$93,F125,D$93-SUM(E$100:E125))</f>
        <v>9574972.7765988894</v>
      </c>
      <c r="E126" s="162">
        <f>IF(+J97&lt;F125,J97,D126)</f>
        <v>803173.21499999997</v>
      </c>
      <c r="F126" s="161">
        <f t="shared" si="20"/>
        <v>8771799.5615988895</v>
      </c>
      <c r="G126" s="161">
        <f t="shared" si="21"/>
        <v>9173386.1690988895</v>
      </c>
      <c r="H126" s="165">
        <f t="shared" si="22"/>
        <v>1771538.3255417314</v>
      </c>
      <c r="I126" s="299">
        <f t="shared" si="23"/>
        <v>1771538.3255417314</v>
      </c>
      <c r="J126" s="160">
        <f t="shared" si="19"/>
        <v>0</v>
      </c>
      <c r="K126" s="160"/>
      <c r="L126" s="316"/>
      <c r="M126" s="160">
        <f t="shared" si="24"/>
        <v>0</v>
      </c>
      <c r="N126" s="316"/>
      <c r="O126" s="160">
        <f t="shared" si="17"/>
        <v>0</v>
      </c>
      <c r="P126" s="160">
        <f t="shared" si="18"/>
        <v>0</v>
      </c>
      <c r="Q126" s="1"/>
      <c r="R126" s="1"/>
      <c r="S126" s="1"/>
      <c r="T126" s="1"/>
      <c r="U126" s="1"/>
    </row>
    <row r="127" spans="2:21">
      <c r="B127" t="str">
        <f t="shared" si="16"/>
        <v/>
      </c>
      <c r="C127" s="155">
        <f>IF(D94="","-",+C126+1)</f>
        <v>2040</v>
      </c>
      <c r="D127" s="156">
        <f>IF(F126+SUM(E$100:E126)=D$93,F126,D$93-SUM(E$100:E126))</f>
        <v>8771799.5615988895</v>
      </c>
      <c r="E127" s="162">
        <f>IF(+J97&lt;F126,J97,D127)</f>
        <v>803173.21499999997</v>
      </c>
      <c r="F127" s="161">
        <f t="shared" si="20"/>
        <v>7968626.3465988897</v>
      </c>
      <c r="G127" s="161">
        <f t="shared" si="21"/>
        <v>8370212.9540988896</v>
      </c>
      <c r="H127" s="165">
        <f t="shared" si="22"/>
        <v>1686753.3939155475</v>
      </c>
      <c r="I127" s="299">
        <f t="shared" si="23"/>
        <v>1686753.3939155475</v>
      </c>
      <c r="J127" s="160">
        <f t="shared" si="19"/>
        <v>0</v>
      </c>
      <c r="K127" s="160"/>
      <c r="L127" s="316"/>
      <c r="M127" s="160">
        <f t="shared" si="24"/>
        <v>0</v>
      </c>
      <c r="N127" s="316"/>
      <c r="O127" s="160">
        <f t="shared" si="17"/>
        <v>0</v>
      </c>
      <c r="P127" s="160">
        <f t="shared" si="18"/>
        <v>0</v>
      </c>
      <c r="Q127" s="1"/>
      <c r="R127" s="1"/>
      <c r="S127" s="1"/>
      <c r="T127" s="1"/>
      <c r="U127" s="1"/>
    </row>
    <row r="128" spans="2:21">
      <c r="B128" t="str">
        <f t="shared" si="16"/>
        <v/>
      </c>
      <c r="C128" s="155">
        <f>IF(D94="","-",+C127+1)</f>
        <v>2041</v>
      </c>
      <c r="D128" s="156">
        <f>IF(F127+SUM(E$100:E127)=D$93,F127,D$93-SUM(E$100:E127))</f>
        <v>7968626.3465988897</v>
      </c>
      <c r="E128" s="162">
        <f>IF(+J97&lt;F127,J97,D128)</f>
        <v>803173.21499999997</v>
      </c>
      <c r="F128" s="161">
        <f t="shared" si="20"/>
        <v>7165453.1315988898</v>
      </c>
      <c r="G128" s="161">
        <f t="shared" si="21"/>
        <v>7567039.7390988898</v>
      </c>
      <c r="H128" s="165">
        <f t="shared" si="22"/>
        <v>1601968.4622893631</v>
      </c>
      <c r="I128" s="299">
        <f t="shared" si="23"/>
        <v>1601968.4622893631</v>
      </c>
      <c r="J128" s="160">
        <f t="shared" si="19"/>
        <v>0</v>
      </c>
      <c r="K128" s="160"/>
      <c r="L128" s="316"/>
      <c r="M128" s="160">
        <f t="shared" si="24"/>
        <v>0</v>
      </c>
      <c r="N128" s="316"/>
      <c r="O128" s="160">
        <f t="shared" si="17"/>
        <v>0</v>
      </c>
      <c r="P128" s="160">
        <f t="shared" si="18"/>
        <v>0</v>
      </c>
      <c r="Q128" s="1"/>
      <c r="R128" s="1"/>
      <c r="S128" s="1"/>
      <c r="T128" s="1"/>
      <c r="U128" s="1"/>
    </row>
    <row r="129" spans="2:21">
      <c r="B129" t="str">
        <f t="shared" si="16"/>
        <v/>
      </c>
      <c r="C129" s="155">
        <f>IF(D94="","-",+C128+1)</f>
        <v>2042</v>
      </c>
      <c r="D129" s="156">
        <f>IF(F128+SUM(E$100:E128)=D$93,F128,D$93-SUM(E$100:E128))</f>
        <v>7165453.1315988898</v>
      </c>
      <c r="E129" s="162">
        <f>IF(+J97&lt;F128,J97,D129)</f>
        <v>803173.21499999997</v>
      </c>
      <c r="F129" s="161">
        <f t="shared" si="20"/>
        <v>6362279.91659889</v>
      </c>
      <c r="G129" s="161">
        <f t="shared" si="21"/>
        <v>6763866.5240988899</v>
      </c>
      <c r="H129" s="165">
        <f t="shared" si="22"/>
        <v>1517183.530663179</v>
      </c>
      <c r="I129" s="299">
        <f t="shared" si="23"/>
        <v>1517183.530663179</v>
      </c>
      <c r="J129" s="160">
        <f t="shared" si="19"/>
        <v>0</v>
      </c>
      <c r="K129" s="160"/>
      <c r="L129" s="316"/>
      <c r="M129" s="160">
        <f t="shared" si="24"/>
        <v>0</v>
      </c>
      <c r="N129" s="316"/>
      <c r="O129" s="160">
        <f t="shared" si="17"/>
        <v>0</v>
      </c>
      <c r="P129" s="160">
        <f t="shared" si="18"/>
        <v>0</v>
      </c>
      <c r="Q129" s="1"/>
      <c r="R129" s="1"/>
      <c r="S129" s="1"/>
      <c r="T129" s="1"/>
      <c r="U129" s="1"/>
    </row>
    <row r="130" spans="2:21">
      <c r="B130" t="str">
        <f t="shared" si="16"/>
        <v/>
      </c>
      <c r="C130" s="155">
        <f>IF(D94="","-",+C129+1)</f>
        <v>2043</v>
      </c>
      <c r="D130" s="156">
        <f>IF(F129+SUM(E$100:E129)=D$93,F129,D$93-SUM(E$100:E129))</f>
        <v>6362279.91659889</v>
      </c>
      <c r="E130" s="162">
        <f>IF(+J97&lt;F129,J97,D130)</f>
        <v>803173.21499999997</v>
      </c>
      <c r="F130" s="161">
        <f t="shared" si="20"/>
        <v>5559106.7015988901</v>
      </c>
      <c r="G130" s="161">
        <f t="shared" si="21"/>
        <v>5960693.3090988901</v>
      </c>
      <c r="H130" s="165">
        <f t="shared" si="22"/>
        <v>1432398.5990369949</v>
      </c>
      <c r="I130" s="299">
        <f t="shared" si="23"/>
        <v>1432398.5990369949</v>
      </c>
      <c r="J130" s="160">
        <f t="shared" si="19"/>
        <v>0</v>
      </c>
      <c r="K130" s="160"/>
      <c r="L130" s="316"/>
      <c r="M130" s="160">
        <f t="shared" si="24"/>
        <v>0</v>
      </c>
      <c r="N130" s="316"/>
      <c r="O130" s="160">
        <f t="shared" si="17"/>
        <v>0</v>
      </c>
      <c r="P130" s="160">
        <f t="shared" si="18"/>
        <v>0</v>
      </c>
      <c r="Q130" s="1"/>
      <c r="R130" s="1"/>
      <c r="S130" s="1"/>
      <c r="T130" s="1"/>
      <c r="U130" s="1"/>
    </row>
    <row r="131" spans="2:21">
      <c r="B131" t="str">
        <f t="shared" si="16"/>
        <v/>
      </c>
      <c r="C131" s="155">
        <f>IF(D94="","-",+C130+1)</f>
        <v>2044</v>
      </c>
      <c r="D131" s="156">
        <f>IF(F130+SUM(E$100:E130)=D$93,F130,D$93-SUM(E$100:E130))</f>
        <v>5559106.7015988901</v>
      </c>
      <c r="E131" s="162">
        <f>IF(+J97&lt;F130,J97,D131)</f>
        <v>803173.21499999997</v>
      </c>
      <c r="F131" s="161">
        <f t="shared" si="20"/>
        <v>4755933.4865988903</v>
      </c>
      <c r="G131" s="161">
        <f t="shared" si="21"/>
        <v>5157520.0940988902</v>
      </c>
      <c r="H131" s="165">
        <f t="shared" si="22"/>
        <v>1347613.6674108107</v>
      </c>
      <c r="I131" s="299">
        <f t="shared" si="23"/>
        <v>1347613.6674108107</v>
      </c>
      <c r="J131" s="160">
        <f t="shared" si="19"/>
        <v>0</v>
      </c>
      <c r="K131" s="160"/>
      <c r="L131" s="316"/>
      <c r="M131" s="160">
        <f t="shared" si="24"/>
        <v>0</v>
      </c>
      <c r="N131" s="316"/>
      <c r="O131" s="160">
        <f t="shared" si="17"/>
        <v>0</v>
      </c>
      <c r="P131" s="160">
        <f t="shared" si="18"/>
        <v>0</v>
      </c>
      <c r="Q131" s="1"/>
      <c r="R131" s="1"/>
      <c r="S131" s="1"/>
      <c r="T131" s="1"/>
      <c r="U131" s="1"/>
    </row>
    <row r="132" spans="2:21">
      <c r="B132" t="str">
        <f t="shared" ref="B132:B155" si="25">IF(D132=F131,"","IU")</f>
        <v/>
      </c>
      <c r="C132" s="155">
        <f>IF(D94="","-",+C131+1)</f>
        <v>2045</v>
      </c>
      <c r="D132" s="156">
        <f>IF(F131+SUM(E$100:E131)=D$93,F131,D$93-SUM(E$100:E131))</f>
        <v>4755933.4865988903</v>
      </c>
      <c r="E132" s="162">
        <f>IF(+J97&lt;F131,J97,D132)</f>
        <v>803173.21499999997</v>
      </c>
      <c r="F132" s="161">
        <f t="shared" si="20"/>
        <v>3952760.2715988904</v>
      </c>
      <c r="G132" s="161">
        <f t="shared" ref="G132:G155" si="26">+(F132+D132)/2</f>
        <v>4354346.8790988903</v>
      </c>
      <c r="H132" s="165">
        <f t="shared" ref="H132:H155" si="27">+J$95*G132+E132</f>
        <v>1262828.7357846266</v>
      </c>
      <c r="I132" s="299">
        <f t="shared" ref="I132:I155" si="28">+J$96*G132+E132</f>
        <v>1262828.7357846266</v>
      </c>
      <c r="J132" s="160">
        <f t="shared" ref="J132:J155" si="29">+I132-H132</f>
        <v>0</v>
      </c>
      <c r="K132" s="160"/>
      <c r="L132" s="316"/>
      <c r="M132" s="160">
        <f t="shared" ref="M132:M155" si="30">IF(L132&lt;&gt;0,+H132-L132,0)</f>
        <v>0</v>
      </c>
      <c r="N132" s="316"/>
      <c r="O132" s="160">
        <f t="shared" ref="O132:O155" si="31">IF(N132&lt;&gt;0,+I132-N132,0)</f>
        <v>0</v>
      </c>
      <c r="P132" s="160">
        <f t="shared" ref="P132:P155" si="32">+O132-M132</f>
        <v>0</v>
      </c>
      <c r="Q132" s="1"/>
      <c r="R132" s="1"/>
      <c r="S132" s="1"/>
      <c r="T132" s="1"/>
      <c r="U132" s="1"/>
    </row>
    <row r="133" spans="2:21">
      <c r="B133" t="str">
        <f t="shared" si="25"/>
        <v/>
      </c>
      <c r="C133" s="155">
        <f>IF(D94="","-",+C132+1)</f>
        <v>2046</v>
      </c>
      <c r="D133" s="156">
        <f>IF(F132+SUM(E$100:E132)=D$93,F132,D$93-SUM(E$100:E132))</f>
        <v>3952760.2715988904</v>
      </c>
      <c r="E133" s="162">
        <f>IF(+J97&lt;F132,J97,D133)</f>
        <v>803173.21499999997</v>
      </c>
      <c r="F133" s="161">
        <f t="shared" ref="F133:F155" si="33">+D133-E133</f>
        <v>3149587.0565988906</v>
      </c>
      <c r="G133" s="161">
        <f t="shared" si="26"/>
        <v>3551173.6640988905</v>
      </c>
      <c r="H133" s="165">
        <f t="shared" si="27"/>
        <v>1178043.8041584424</v>
      </c>
      <c r="I133" s="299">
        <f t="shared" si="28"/>
        <v>1178043.8041584424</v>
      </c>
      <c r="J133" s="160">
        <f t="shared" si="29"/>
        <v>0</v>
      </c>
      <c r="K133" s="160"/>
      <c r="L133" s="316"/>
      <c r="M133" s="160">
        <f t="shared" si="30"/>
        <v>0</v>
      </c>
      <c r="N133" s="316"/>
      <c r="O133" s="160">
        <f t="shared" si="31"/>
        <v>0</v>
      </c>
      <c r="P133" s="160">
        <f t="shared" si="32"/>
        <v>0</v>
      </c>
      <c r="Q133" s="1"/>
      <c r="R133" s="1"/>
      <c r="S133" s="1"/>
      <c r="T133" s="1"/>
      <c r="U133" s="1"/>
    </row>
    <row r="134" spans="2:21">
      <c r="B134" t="str">
        <f t="shared" si="25"/>
        <v/>
      </c>
      <c r="C134" s="155">
        <f>IF(D94="","-",+C133+1)</f>
        <v>2047</v>
      </c>
      <c r="D134" s="156">
        <f>IF(F133+SUM(E$100:E133)=D$93,F133,D$93-SUM(E$100:E133))</f>
        <v>3149587.0565988906</v>
      </c>
      <c r="E134" s="162">
        <f>IF(+J97&lt;F133,J97,D134)</f>
        <v>803173.21499999997</v>
      </c>
      <c r="F134" s="161">
        <f t="shared" si="33"/>
        <v>2346413.8415988907</v>
      </c>
      <c r="G134" s="161">
        <f t="shared" si="26"/>
        <v>2748000.4490988906</v>
      </c>
      <c r="H134" s="165">
        <f t="shared" si="27"/>
        <v>1093258.8725322583</v>
      </c>
      <c r="I134" s="299">
        <f t="shared" si="28"/>
        <v>1093258.8725322583</v>
      </c>
      <c r="J134" s="160">
        <f t="shared" si="29"/>
        <v>0</v>
      </c>
      <c r="K134" s="160"/>
      <c r="L134" s="316"/>
      <c r="M134" s="160">
        <f t="shared" si="30"/>
        <v>0</v>
      </c>
      <c r="N134" s="316"/>
      <c r="O134" s="160">
        <f t="shared" si="31"/>
        <v>0</v>
      </c>
      <c r="P134" s="160">
        <f t="shared" si="32"/>
        <v>0</v>
      </c>
      <c r="Q134" s="1"/>
      <c r="R134" s="1"/>
      <c r="S134" s="1"/>
      <c r="T134" s="1"/>
      <c r="U134" s="1"/>
    </row>
    <row r="135" spans="2:21">
      <c r="B135" t="str">
        <f t="shared" si="25"/>
        <v/>
      </c>
      <c r="C135" s="155">
        <f>IF(D94="","-",+C134+1)</f>
        <v>2048</v>
      </c>
      <c r="D135" s="156">
        <f>IF(F134+SUM(E$100:E134)=D$93,F134,D$93-SUM(E$100:E134))</f>
        <v>2346413.8415988907</v>
      </c>
      <c r="E135" s="162">
        <f>IF(+J97&lt;F134,J97,D135)</f>
        <v>803173.21499999997</v>
      </c>
      <c r="F135" s="161">
        <f t="shared" si="33"/>
        <v>1543240.6265988909</v>
      </c>
      <c r="G135" s="161">
        <f t="shared" si="26"/>
        <v>1944827.2340988908</v>
      </c>
      <c r="H135" s="165">
        <f t="shared" si="27"/>
        <v>1008473.9409060741</v>
      </c>
      <c r="I135" s="299">
        <f t="shared" si="28"/>
        <v>1008473.9409060741</v>
      </c>
      <c r="J135" s="160">
        <f t="shared" si="29"/>
        <v>0</v>
      </c>
      <c r="K135" s="160"/>
      <c r="L135" s="316"/>
      <c r="M135" s="160">
        <f t="shared" si="30"/>
        <v>0</v>
      </c>
      <c r="N135" s="316"/>
      <c r="O135" s="160">
        <f t="shared" si="31"/>
        <v>0</v>
      </c>
      <c r="P135" s="160">
        <f t="shared" si="32"/>
        <v>0</v>
      </c>
      <c r="Q135" s="1"/>
      <c r="R135" s="1"/>
      <c r="S135" s="1"/>
      <c r="T135" s="1"/>
      <c r="U135" s="1"/>
    </row>
    <row r="136" spans="2:21">
      <c r="B136" t="str">
        <f t="shared" si="25"/>
        <v/>
      </c>
      <c r="C136" s="155">
        <f>IF(D94="","-",+C135+1)</f>
        <v>2049</v>
      </c>
      <c r="D136" s="156">
        <f>IF(F135+SUM(E$100:E135)=D$93,F135,D$93-SUM(E$100:E135))</f>
        <v>1543240.6265988909</v>
      </c>
      <c r="E136" s="162">
        <f>IF(+J97&lt;F135,J97,D136)</f>
        <v>803173.21499999997</v>
      </c>
      <c r="F136" s="161">
        <f t="shared" si="33"/>
        <v>740067.4115988909</v>
      </c>
      <c r="G136" s="161">
        <f t="shared" si="26"/>
        <v>1141654.0190988909</v>
      </c>
      <c r="H136" s="165">
        <f t="shared" si="27"/>
        <v>923689.00927988999</v>
      </c>
      <c r="I136" s="299">
        <f t="shared" si="28"/>
        <v>923689.00927988999</v>
      </c>
      <c r="J136" s="160">
        <f t="shared" si="29"/>
        <v>0</v>
      </c>
      <c r="K136" s="160"/>
      <c r="L136" s="316"/>
      <c r="M136" s="160">
        <f t="shared" si="30"/>
        <v>0</v>
      </c>
      <c r="N136" s="316"/>
      <c r="O136" s="160">
        <f t="shared" si="31"/>
        <v>0</v>
      </c>
      <c r="P136" s="160">
        <f t="shared" si="32"/>
        <v>0</v>
      </c>
      <c r="Q136" s="1"/>
      <c r="R136" s="1"/>
      <c r="S136" s="1"/>
      <c r="T136" s="1"/>
      <c r="U136" s="1"/>
    </row>
    <row r="137" spans="2:21">
      <c r="B137" t="str">
        <f t="shared" si="25"/>
        <v/>
      </c>
      <c r="C137" s="155">
        <f>IF(D94="","-",+C136+1)</f>
        <v>2050</v>
      </c>
      <c r="D137" s="156">
        <f>IF(F136+SUM(E$100:E136)=D$93,F136,D$93-SUM(E$100:E136))</f>
        <v>740067.4115988909</v>
      </c>
      <c r="E137" s="162">
        <f>IF(+J97&lt;F136,J97,D137)</f>
        <v>740067.4115988909</v>
      </c>
      <c r="F137" s="161">
        <f t="shared" si="33"/>
        <v>0</v>
      </c>
      <c r="G137" s="161">
        <f t="shared" si="26"/>
        <v>370033.70579944545</v>
      </c>
      <c r="H137" s="165">
        <f t="shared" si="27"/>
        <v>779129.07583228988</v>
      </c>
      <c r="I137" s="299">
        <f t="shared" si="28"/>
        <v>779129.07583228988</v>
      </c>
      <c r="J137" s="160">
        <f t="shared" si="29"/>
        <v>0</v>
      </c>
      <c r="K137" s="160"/>
      <c r="L137" s="316"/>
      <c r="M137" s="160">
        <f t="shared" si="30"/>
        <v>0</v>
      </c>
      <c r="N137" s="316"/>
      <c r="O137" s="160">
        <f t="shared" si="31"/>
        <v>0</v>
      </c>
      <c r="P137" s="160">
        <f t="shared" si="32"/>
        <v>0</v>
      </c>
      <c r="Q137" s="1"/>
      <c r="R137" s="1"/>
      <c r="S137" s="1"/>
      <c r="T137" s="1"/>
      <c r="U137" s="1"/>
    </row>
    <row r="138" spans="2:21">
      <c r="B138" t="str">
        <f t="shared" si="25"/>
        <v/>
      </c>
      <c r="C138" s="155">
        <f>IF(D94="","-",+C137+1)</f>
        <v>2051</v>
      </c>
      <c r="D138" s="156">
        <f>IF(F137+SUM(E$100:E137)=D$93,F137,D$93-SUM(E$100:E137))</f>
        <v>0</v>
      </c>
      <c r="E138" s="162">
        <f>IF(+J97&lt;F137,J97,D138)</f>
        <v>0</v>
      </c>
      <c r="F138" s="161">
        <f t="shared" si="33"/>
        <v>0</v>
      </c>
      <c r="G138" s="161">
        <f t="shared" si="26"/>
        <v>0</v>
      </c>
      <c r="H138" s="165">
        <f t="shared" si="27"/>
        <v>0</v>
      </c>
      <c r="I138" s="299">
        <f t="shared" si="28"/>
        <v>0</v>
      </c>
      <c r="J138" s="160">
        <f t="shared" si="29"/>
        <v>0</v>
      </c>
      <c r="K138" s="160"/>
      <c r="L138" s="316"/>
      <c r="M138" s="160">
        <f t="shared" si="30"/>
        <v>0</v>
      </c>
      <c r="N138" s="316"/>
      <c r="O138" s="160">
        <f t="shared" si="31"/>
        <v>0</v>
      </c>
      <c r="P138" s="160">
        <f t="shared" si="32"/>
        <v>0</v>
      </c>
      <c r="Q138" s="1"/>
      <c r="R138" s="1"/>
      <c r="S138" s="1"/>
      <c r="T138" s="1"/>
      <c r="U138" s="1"/>
    </row>
    <row r="139" spans="2:21">
      <c r="B139" t="str">
        <f t="shared" si="25"/>
        <v/>
      </c>
      <c r="C139" s="155">
        <f>IF(D94="","-",+C138+1)</f>
        <v>2052</v>
      </c>
      <c r="D139" s="156">
        <f>IF(F138+SUM(E$100:E138)=D$93,F138,D$93-SUM(E$100:E138))</f>
        <v>0</v>
      </c>
      <c r="E139" s="162">
        <f>IF(+J97&lt;F138,J97,D139)</f>
        <v>0</v>
      </c>
      <c r="F139" s="161">
        <f t="shared" si="33"/>
        <v>0</v>
      </c>
      <c r="G139" s="161">
        <f t="shared" si="26"/>
        <v>0</v>
      </c>
      <c r="H139" s="165">
        <f t="shared" si="27"/>
        <v>0</v>
      </c>
      <c r="I139" s="299">
        <f t="shared" si="28"/>
        <v>0</v>
      </c>
      <c r="J139" s="160">
        <f t="shared" si="29"/>
        <v>0</v>
      </c>
      <c r="K139" s="160"/>
      <c r="L139" s="316"/>
      <c r="M139" s="160">
        <f t="shared" si="30"/>
        <v>0</v>
      </c>
      <c r="N139" s="316"/>
      <c r="O139" s="160">
        <f t="shared" si="31"/>
        <v>0</v>
      </c>
      <c r="P139" s="160">
        <f t="shared" si="32"/>
        <v>0</v>
      </c>
      <c r="Q139" s="1"/>
      <c r="R139" s="1"/>
      <c r="S139" s="1"/>
      <c r="T139" s="1"/>
      <c r="U139" s="1"/>
    </row>
    <row r="140" spans="2:21">
      <c r="B140" t="str">
        <f t="shared" si="25"/>
        <v/>
      </c>
      <c r="C140" s="155">
        <f>IF(D94="","-",+C139+1)</f>
        <v>2053</v>
      </c>
      <c r="D140" s="156">
        <f>IF(F139+SUM(E$100:E139)=D$93,F139,D$93-SUM(E$100:E139))</f>
        <v>0</v>
      </c>
      <c r="E140" s="162">
        <f>IF(+J97&lt;F139,J97,D140)</f>
        <v>0</v>
      </c>
      <c r="F140" s="161">
        <f t="shared" si="33"/>
        <v>0</v>
      </c>
      <c r="G140" s="161">
        <f t="shared" si="26"/>
        <v>0</v>
      </c>
      <c r="H140" s="165">
        <f t="shared" si="27"/>
        <v>0</v>
      </c>
      <c r="I140" s="299">
        <f t="shared" si="28"/>
        <v>0</v>
      </c>
      <c r="J140" s="160">
        <f t="shared" si="29"/>
        <v>0</v>
      </c>
      <c r="K140" s="160"/>
      <c r="L140" s="316"/>
      <c r="M140" s="160">
        <f t="shared" si="30"/>
        <v>0</v>
      </c>
      <c r="N140" s="316"/>
      <c r="O140" s="160">
        <f t="shared" si="31"/>
        <v>0</v>
      </c>
      <c r="P140" s="160">
        <f t="shared" si="32"/>
        <v>0</v>
      </c>
      <c r="Q140" s="1"/>
      <c r="R140" s="1"/>
      <c r="S140" s="1"/>
      <c r="T140" s="1"/>
      <c r="U140" s="1"/>
    </row>
    <row r="141" spans="2:21">
      <c r="B141" t="str">
        <f t="shared" si="25"/>
        <v/>
      </c>
      <c r="C141" s="155">
        <f>IF(D94="","-",+C140+1)</f>
        <v>2054</v>
      </c>
      <c r="D141" s="156">
        <f>IF(F140+SUM(E$100:E140)=D$93,F140,D$93-SUM(E$100:E140))</f>
        <v>0</v>
      </c>
      <c r="E141" s="162">
        <f>IF(+J97&lt;F140,J97,D141)</f>
        <v>0</v>
      </c>
      <c r="F141" s="161">
        <f t="shared" si="33"/>
        <v>0</v>
      </c>
      <c r="G141" s="161">
        <f t="shared" si="26"/>
        <v>0</v>
      </c>
      <c r="H141" s="165">
        <f t="shared" si="27"/>
        <v>0</v>
      </c>
      <c r="I141" s="299">
        <f t="shared" si="28"/>
        <v>0</v>
      </c>
      <c r="J141" s="160">
        <f t="shared" si="29"/>
        <v>0</v>
      </c>
      <c r="K141" s="160"/>
      <c r="L141" s="316"/>
      <c r="M141" s="160">
        <f t="shared" si="30"/>
        <v>0</v>
      </c>
      <c r="N141" s="316"/>
      <c r="O141" s="160">
        <f t="shared" si="31"/>
        <v>0</v>
      </c>
      <c r="P141" s="160">
        <f t="shared" si="32"/>
        <v>0</v>
      </c>
      <c r="Q141" s="1"/>
      <c r="R141" s="1"/>
      <c r="S141" s="1"/>
      <c r="T141" s="1"/>
      <c r="U141" s="1"/>
    </row>
    <row r="142" spans="2:21">
      <c r="B142" t="str">
        <f t="shared" si="25"/>
        <v/>
      </c>
      <c r="C142" s="155">
        <f>IF(D94="","-",+C141+1)</f>
        <v>2055</v>
      </c>
      <c r="D142" s="156">
        <f>IF(F141+SUM(E$100:E141)=D$93,F141,D$93-SUM(E$100:E141))</f>
        <v>0</v>
      </c>
      <c r="E142" s="162">
        <f>IF(+J97&lt;F141,J97,D142)</f>
        <v>0</v>
      </c>
      <c r="F142" s="161">
        <f t="shared" si="33"/>
        <v>0</v>
      </c>
      <c r="G142" s="161">
        <f t="shared" si="26"/>
        <v>0</v>
      </c>
      <c r="H142" s="165">
        <f t="shared" si="27"/>
        <v>0</v>
      </c>
      <c r="I142" s="299">
        <f t="shared" si="28"/>
        <v>0</v>
      </c>
      <c r="J142" s="160">
        <f t="shared" si="29"/>
        <v>0</v>
      </c>
      <c r="K142" s="160"/>
      <c r="L142" s="316"/>
      <c r="M142" s="160">
        <f t="shared" si="30"/>
        <v>0</v>
      </c>
      <c r="N142" s="316"/>
      <c r="O142" s="160">
        <f t="shared" si="31"/>
        <v>0</v>
      </c>
      <c r="P142" s="160">
        <f t="shared" si="32"/>
        <v>0</v>
      </c>
      <c r="Q142" s="1"/>
      <c r="R142" s="1"/>
      <c r="S142" s="1"/>
      <c r="T142" s="1"/>
      <c r="U142" s="1"/>
    </row>
    <row r="143" spans="2:21">
      <c r="B143" t="str">
        <f t="shared" si="25"/>
        <v/>
      </c>
      <c r="C143" s="155">
        <f>IF(D94="","-",+C142+1)</f>
        <v>2056</v>
      </c>
      <c r="D143" s="156">
        <f>IF(F142+SUM(E$100:E142)=D$93,F142,D$93-SUM(E$100:E142))</f>
        <v>0</v>
      </c>
      <c r="E143" s="162">
        <f>IF(+J97&lt;F142,J97,D143)</f>
        <v>0</v>
      </c>
      <c r="F143" s="161">
        <f t="shared" si="33"/>
        <v>0</v>
      </c>
      <c r="G143" s="161">
        <f t="shared" si="26"/>
        <v>0</v>
      </c>
      <c r="H143" s="165">
        <f t="shared" si="27"/>
        <v>0</v>
      </c>
      <c r="I143" s="299">
        <f t="shared" si="28"/>
        <v>0</v>
      </c>
      <c r="J143" s="160">
        <f t="shared" si="29"/>
        <v>0</v>
      </c>
      <c r="K143" s="160"/>
      <c r="L143" s="316"/>
      <c r="M143" s="160">
        <f t="shared" si="30"/>
        <v>0</v>
      </c>
      <c r="N143" s="316"/>
      <c r="O143" s="160">
        <f t="shared" si="31"/>
        <v>0</v>
      </c>
      <c r="P143" s="160">
        <f t="shared" si="32"/>
        <v>0</v>
      </c>
      <c r="Q143" s="1"/>
      <c r="R143" s="1"/>
      <c r="S143" s="1"/>
      <c r="T143" s="1"/>
      <c r="U143" s="1"/>
    </row>
    <row r="144" spans="2:21">
      <c r="B144" t="str">
        <f t="shared" si="25"/>
        <v/>
      </c>
      <c r="C144" s="155">
        <f>IF(D94="","-",+C143+1)</f>
        <v>2057</v>
      </c>
      <c r="D144" s="156">
        <f>IF(F143+SUM(E$100:E143)=D$93,F143,D$93-SUM(E$100:E143))</f>
        <v>0</v>
      </c>
      <c r="E144" s="162">
        <f>IF(+J97&lt;F143,J97,D144)</f>
        <v>0</v>
      </c>
      <c r="F144" s="161">
        <f t="shared" si="33"/>
        <v>0</v>
      </c>
      <c r="G144" s="161">
        <f t="shared" si="26"/>
        <v>0</v>
      </c>
      <c r="H144" s="165">
        <f t="shared" si="27"/>
        <v>0</v>
      </c>
      <c r="I144" s="299">
        <f t="shared" si="28"/>
        <v>0</v>
      </c>
      <c r="J144" s="160">
        <f t="shared" si="29"/>
        <v>0</v>
      </c>
      <c r="K144" s="160"/>
      <c r="L144" s="316"/>
      <c r="M144" s="160">
        <f t="shared" si="30"/>
        <v>0</v>
      </c>
      <c r="N144" s="316"/>
      <c r="O144" s="160">
        <f t="shared" si="31"/>
        <v>0</v>
      </c>
      <c r="P144" s="160">
        <f t="shared" si="32"/>
        <v>0</v>
      </c>
      <c r="Q144" s="1"/>
      <c r="R144" s="1"/>
      <c r="S144" s="1"/>
      <c r="T144" s="1"/>
      <c r="U144" s="1"/>
    </row>
    <row r="145" spans="2:21">
      <c r="B145" t="str">
        <f t="shared" si="25"/>
        <v/>
      </c>
      <c r="C145" s="155">
        <f>IF(D94="","-",+C144+1)</f>
        <v>2058</v>
      </c>
      <c r="D145" s="156">
        <f>IF(F144+SUM(E$100:E144)=D$93,F144,D$93-SUM(E$100:E144))</f>
        <v>0</v>
      </c>
      <c r="E145" s="162">
        <f>IF(+J97&lt;F144,J97,D145)</f>
        <v>0</v>
      </c>
      <c r="F145" s="161">
        <f t="shared" si="33"/>
        <v>0</v>
      </c>
      <c r="G145" s="161">
        <f t="shared" si="26"/>
        <v>0</v>
      </c>
      <c r="H145" s="165">
        <f t="shared" si="27"/>
        <v>0</v>
      </c>
      <c r="I145" s="299">
        <f t="shared" si="28"/>
        <v>0</v>
      </c>
      <c r="J145" s="160">
        <f t="shared" si="29"/>
        <v>0</v>
      </c>
      <c r="K145" s="160"/>
      <c r="L145" s="316"/>
      <c r="M145" s="160">
        <f t="shared" si="30"/>
        <v>0</v>
      </c>
      <c r="N145" s="316"/>
      <c r="O145" s="160">
        <f t="shared" si="31"/>
        <v>0</v>
      </c>
      <c r="P145" s="160">
        <f t="shared" si="32"/>
        <v>0</v>
      </c>
      <c r="Q145" s="1"/>
      <c r="R145" s="1"/>
      <c r="S145" s="1"/>
      <c r="T145" s="1"/>
      <c r="U145" s="1"/>
    </row>
    <row r="146" spans="2:21">
      <c r="B146" t="str">
        <f t="shared" si="25"/>
        <v/>
      </c>
      <c r="C146" s="155">
        <f>IF(D94="","-",+C145+1)</f>
        <v>2059</v>
      </c>
      <c r="D146" s="156">
        <f>IF(F145+SUM(E$100:E145)=D$93,F145,D$93-SUM(E$100:E145))</f>
        <v>0</v>
      </c>
      <c r="E146" s="162">
        <f>IF(+J97&lt;F145,J97,D146)</f>
        <v>0</v>
      </c>
      <c r="F146" s="161">
        <f t="shared" si="33"/>
        <v>0</v>
      </c>
      <c r="G146" s="161">
        <f t="shared" si="26"/>
        <v>0</v>
      </c>
      <c r="H146" s="165">
        <f t="shared" si="27"/>
        <v>0</v>
      </c>
      <c r="I146" s="299">
        <f t="shared" si="28"/>
        <v>0</v>
      </c>
      <c r="J146" s="160">
        <f t="shared" si="29"/>
        <v>0</v>
      </c>
      <c r="K146" s="160"/>
      <c r="L146" s="316"/>
      <c r="M146" s="160">
        <f t="shared" si="30"/>
        <v>0</v>
      </c>
      <c r="N146" s="316"/>
      <c r="O146" s="160">
        <f t="shared" si="31"/>
        <v>0</v>
      </c>
      <c r="P146" s="160">
        <f t="shared" si="32"/>
        <v>0</v>
      </c>
      <c r="Q146" s="1"/>
      <c r="R146" s="1"/>
      <c r="S146" s="1"/>
      <c r="T146" s="1"/>
      <c r="U146" s="1"/>
    </row>
    <row r="147" spans="2:21">
      <c r="B147" t="str">
        <f t="shared" si="25"/>
        <v/>
      </c>
      <c r="C147" s="155">
        <f>IF(D94="","-",+C146+1)</f>
        <v>2060</v>
      </c>
      <c r="D147" s="156">
        <f>IF(F146+SUM(E$100:E146)=D$93,F146,D$93-SUM(E$100:E146))</f>
        <v>0</v>
      </c>
      <c r="E147" s="162">
        <f>IF(+J97&lt;F146,J97,D147)</f>
        <v>0</v>
      </c>
      <c r="F147" s="161">
        <f t="shared" si="33"/>
        <v>0</v>
      </c>
      <c r="G147" s="161">
        <f t="shared" si="26"/>
        <v>0</v>
      </c>
      <c r="H147" s="165">
        <f t="shared" si="27"/>
        <v>0</v>
      </c>
      <c r="I147" s="299">
        <f t="shared" si="28"/>
        <v>0</v>
      </c>
      <c r="J147" s="160">
        <f t="shared" si="29"/>
        <v>0</v>
      </c>
      <c r="K147" s="160"/>
      <c r="L147" s="316"/>
      <c r="M147" s="160">
        <f t="shared" si="30"/>
        <v>0</v>
      </c>
      <c r="N147" s="316"/>
      <c r="O147" s="160">
        <f t="shared" si="31"/>
        <v>0</v>
      </c>
      <c r="P147" s="160">
        <f t="shared" si="32"/>
        <v>0</v>
      </c>
      <c r="Q147" s="1"/>
      <c r="R147" s="1"/>
      <c r="S147" s="1"/>
      <c r="T147" s="1"/>
      <c r="U147" s="1"/>
    </row>
    <row r="148" spans="2:21">
      <c r="B148" t="str">
        <f t="shared" si="25"/>
        <v/>
      </c>
      <c r="C148" s="155">
        <f>IF(D94="","-",+C147+1)</f>
        <v>2061</v>
      </c>
      <c r="D148" s="156">
        <f>IF(F147+SUM(E$100:E147)=D$93,F147,D$93-SUM(E$100:E147))</f>
        <v>0</v>
      </c>
      <c r="E148" s="162">
        <f>IF(+J97&lt;F147,J97,D148)</f>
        <v>0</v>
      </c>
      <c r="F148" s="161">
        <f t="shared" si="33"/>
        <v>0</v>
      </c>
      <c r="G148" s="161">
        <f t="shared" si="26"/>
        <v>0</v>
      </c>
      <c r="H148" s="165">
        <f t="shared" si="27"/>
        <v>0</v>
      </c>
      <c r="I148" s="299">
        <f t="shared" si="28"/>
        <v>0</v>
      </c>
      <c r="J148" s="160">
        <f t="shared" si="29"/>
        <v>0</v>
      </c>
      <c r="K148" s="160"/>
      <c r="L148" s="316"/>
      <c r="M148" s="160">
        <f t="shared" si="30"/>
        <v>0</v>
      </c>
      <c r="N148" s="316"/>
      <c r="O148" s="160">
        <f t="shared" si="31"/>
        <v>0</v>
      </c>
      <c r="P148" s="160">
        <f t="shared" si="32"/>
        <v>0</v>
      </c>
      <c r="Q148" s="1"/>
      <c r="R148" s="1"/>
      <c r="S148" s="1"/>
      <c r="T148" s="1"/>
      <c r="U148" s="1"/>
    </row>
    <row r="149" spans="2:21">
      <c r="B149" t="str">
        <f t="shared" si="25"/>
        <v/>
      </c>
      <c r="C149" s="155">
        <f>IF(D94="","-",+C148+1)</f>
        <v>2062</v>
      </c>
      <c r="D149" s="156">
        <f>IF(F148+SUM(E$100:E148)=D$93,F148,D$93-SUM(E$100:E148))</f>
        <v>0</v>
      </c>
      <c r="E149" s="162">
        <f>IF(+J97&lt;F148,J97,D149)</f>
        <v>0</v>
      </c>
      <c r="F149" s="161">
        <f t="shared" si="33"/>
        <v>0</v>
      </c>
      <c r="G149" s="161">
        <f t="shared" si="26"/>
        <v>0</v>
      </c>
      <c r="H149" s="165">
        <f t="shared" si="27"/>
        <v>0</v>
      </c>
      <c r="I149" s="299">
        <f t="shared" si="28"/>
        <v>0</v>
      </c>
      <c r="J149" s="160">
        <f t="shared" si="29"/>
        <v>0</v>
      </c>
      <c r="K149" s="160"/>
      <c r="L149" s="316"/>
      <c r="M149" s="160">
        <f t="shared" si="30"/>
        <v>0</v>
      </c>
      <c r="N149" s="316"/>
      <c r="O149" s="160">
        <f t="shared" si="31"/>
        <v>0</v>
      </c>
      <c r="P149" s="160">
        <f t="shared" si="32"/>
        <v>0</v>
      </c>
      <c r="Q149" s="1"/>
      <c r="R149" s="1"/>
      <c r="S149" s="1"/>
      <c r="T149" s="1"/>
      <c r="U149" s="1"/>
    </row>
    <row r="150" spans="2:21">
      <c r="B150" t="str">
        <f t="shared" si="25"/>
        <v/>
      </c>
      <c r="C150" s="155">
        <f>IF(D94="","-",+C149+1)</f>
        <v>2063</v>
      </c>
      <c r="D150" s="156">
        <f>IF(F149+SUM(E$100:E149)=D$93,F149,D$93-SUM(E$100:E149))</f>
        <v>0</v>
      </c>
      <c r="E150" s="162">
        <f>IF(+J97&lt;F149,J97,D150)</f>
        <v>0</v>
      </c>
      <c r="F150" s="161">
        <f t="shared" si="33"/>
        <v>0</v>
      </c>
      <c r="G150" s="161">
        <f t="shared" si="26"/>
        <v>0</v>
      </c>
      <c r="H150" s="165">
        <f t="shared" si="27"/>
        <v>0</v>
      </c>
      <c r="I150" s="299">
        <f t="shared" si="28"/>
        <v>0</v>
      </c>
      <c r="J150" s="160">
        <f t="shared" si="29"/>
        <v>0</v>
      </c>
      <c r="K150" s="160"/>
      <c r="L150" s="316"/>
      <c r="M150" s="160">
        <f t="shared" si="30"/>
        <v>0</v>
      </c>
      <c r="N150" s="316"/>
      <c r="O150" s="160">
        <f t="shared" si="31"/>
        <v>0</v>
      </c>
      <c r="P150" s="160">
        <f t="shared" si="32"/>
        <v>0</v>
      </c>
      <c r="Q150" s="1"/>
      <c r="R150" s="1"/>
      <c r="S150" s="1"/>
      <c r="T150" s="1"/>
      <c r="U150" s="1"/>
    </row>
    <row r="151" spans="2:21">
      <c r="B151" t="str">
        <f t="shared" si="25"/>
        <v/>
      </c>
      <c r="C151" s="155">
        <f>IF(D94="","-",+C150+1)</f>
        <v>2064</v>
      </c>
      <c r="D151" s="156">
        <f>IF(F150+SUM(E$100:E150)=D$93,F150,D$93-SUM(E$100:E150))</f>
        <v>0</v>
      </c>
      <c r="E151" s="162">
        <f>IF(+J97&lt;F150,J97,D151)</f>
        <v>0</v>
      </c>
      <c r="F151" s="161">
        <f t="shared" si="33"/>
        <v>0</v>
      </c>
      <c r="G151" s="161">
        <f t="shared" si="26"/>
        <v>0</v>
      </c>
      <c r="H151" s="165">
        <f t="shared" si="27"/>
        <v>0</v>
      </c>
      <c r="I151" s="299">
        <f t="shared" si="28"/>
        <v>0</v>
      </c>
      <c r="J151" s="160">
        <f t="shared" si="29"/>
        <v>0</v>
      </c>
      <c r="K151" s="160"/>
      <c r="L151" s="316"/>
      <c r="M151" s="160">
        <f t="shared" si="30"/>
        <v>0</v>
      </c>
      <c r="N151" s="316"/>
      <c r="O151" s="160">
        <f t="shared" si="31"/>
        <v>0</v>
      </c>
      <c r="P151" s="160">
        <f t="shared" si="32"/>
        <v>0</v>
      </c>
      <c r="Q151" s="1"/>
      <c r="R151" s="1"/>
      <c r="S151" s="1"/>
      <c r="T151" s="1"/>
      <c r="U151" s="1"/>
    </row>
    <row r="152" spans="2:21">
      <c r="B152" t="str">
        <f t="shared" si="25"/>
        <v/>
      </c>
      <c r="C152" s="155">
        <f>IF(D94="","-",+C151+1)</f>
        <v>2065</v>
      </c>
      <c r="D152" s="156">
        <f>IF(F151+SUM(E$100:E151)=D$93,F151,D$93-SUM(E$100:E151))</f>
        <v>0</v>
      </c>
      <c r="E152" s="162">
        <f>IF(+J97&lt;F151,J97,D152)</f>
        <v>0</v>
      </c>
      <c r="F152" s="161">
        <f t="shared" si="33"/>
        <v>0</v>
      </c>
      <c r="G152" s="161">
        <f t="shared" si="26"/>
        <v>0</v>
      </c>
      <c r="H152" s="165">
        <f t="shared" si="27"/>
        <v>0</v>
      </c>
      <c r="I152" s="299">
        <f t="shared" si="28"/>
        <v>0</v>
      </c>
      <c r="J152" s="160">
        <f t="shared" si="29"/>
        <v>0</v>
      </c>
      <c r="K152" s="160"/>
      <c r="L152" s="316"/>
      <c r="M152" s="160">
        <f t="shared" si="30"/>
        <v>0</v>
      </c>
      <c r="N152" s="316"/>
      <c r="O152" s="160">
        <f t="shared" si="31"/>
        <v>0</v>
      </c>
      <c r="P152" s="160">
        <f t="shared" si="32"/>
        <v>0</v>
      </c>
      <c r="Q152" s="1"/>
      <c r="R152" s="1"/>
      <c r="S152" s="1"/>
      <c r="T152" s="1"/>
      <c r="U152" s="1"/>
    </row>
    <row r="153" spans="2:21">
      <c r="B153" t="str">
        <f t="shared" si="25"/>
        <v/>
      </c>
      <c r="C153" s="155">
        <f>IF(D94="","-",+C152+1)</f>
        <v>2066</v>
      </c>
      <c r="D153" s="156">
        <f>IF(F152+SUM(E$100:E152)=D$93,F152,D$93-SUM(E$100:E152))</f>
        <v>0</v>
      </c>
      <c r="E153" s="162">
        <f>IF(+J97&lt;F152,J97,D153)</f>
        <v>0</v>
      </c>
      <c r="F153" s="161">
        <f t="shared" si="33"/>
        <v>0</v>
      </c>
      <c r="G153" s="161">
        <f t="shared" si="26"/>
        <v>0</v>
      </c>
      <c r="H153" s="165">
        <f t="shared" si="27"/>
        <v>0</v>
      </c>
      <c r="I153" s="299">
        <f t="shared" si="28"/>
        <v>0</v>
      </c>
      <c r="J153" s="160">
        <f t="shared" si="29"/>
        <v>0</v>
      </c>
      <c r="K153" s="160"/>
      <c r="L153" s="316"/>
      <c r="M153" s="160">
        <f t="shared" si="30"/>
        <v>0</v>
      </c>
      <c r="N153" s="316"/>
      <c r="O153" s="160">
        <f t="shared" si="31"/>
        <v>0</v>
      </c>
      <c r="P153" s="160">
        <f t="shared" si="32"/>
        <v>0</v>
      </c>
      <c r="Q153" s="1"/>
      <c r="R153" s="1"/>
      <c r="S153" s="1"/>
      <c r="T153" s="1"/>
      <c r="U153" s="1"/>
    </row>
    <row r="154" spans="2:21">
      <c r="B154" t="str">
        <f t="shared" si="25"/>
        <v/>
      </c>
      <c r="C154" s="155">
        <f>IF(D94="","-",+C153+1)</f>
        <v>2067</v>
      </c>
      <c r="D154" s="156">
        <f>IF(F153+SUM(E$100:E153)=D$93,F153,D$93-SUM(E$100:E153))</f>
        <v>0</v>
      </c>
      <c r="E154" s="162">
        <f>IF(+J97&lt;F153,J97,D154)</f>
        <v>0</v>
      </c>
      <c r="F154" s="161">
        <f t="shared" si="33"/>
        <v>0</v>
      </c>
      <c r="G154" s="161">
        <f t="shared" si="26"/>
        <v>0</v>
      </c>
      <c r="H154" s="165">
        <f t="shared" si="27"/>
        <v>0</v>
      </c>
      <c r="I154" s="299">
        <f t="shared" si="28"/>
        <v>0</v>
      </c>
      <c r="J154" s="160">
        <f t="shared" si="29"/>
        <v>0</v>
      </c>
      <c r="K154" s="160"/>
      <c r="L154" s="316"/>
      <c r="M154" s="160">
        <f t="shared" si="30"/>
        <v>0</v>
      </c>
      <c r="N154" s="316"/>
      <c r="O154" s="160">
        <f t="shared" si="31"/>
        <v>0</v>
      </c>
      <c r="P154" s="160">
        <f t="shared" si="32"/>
        <v>0</v>
      </c>
      <c r="Q154" s="1"/>
      <c r="R154" s="1"/>
      <c r="S154" s="1"/>
      <c r="T154" s="1"/>
      <c r="U154" s="1"/>
    </row>
    <row r="155" spans="2:21" ht="13.5" thickBot="1">
      <c r="B155" t="str">
        <f t="shared" si="25"/>
        <v/>
      </c>
      <c r="C155" s="166">
        <f>IF(D94="","-",+C154+1)</f>
        <v>2068</v>
      </c>
      <c r="D155" s="167">
        <f>IF(F154+SUM(E$100:E154)=D$93,F154,D$93-SUM(E$100:E154))</f>
        <v>0</v>
      </c>
      <c r="E155" s="168">
        <f>IF(+J97&lt;F154,J97,D155)</f>
        <v>0</v>
      </c>
      <c r="F155" s="167">
        <f t="shared" si="33"/>
        <v>0</v>
      </c>
      <c r="G155" s="167">
        <f t="shared" si="26"/>
        <v>0</v>
      </c>
      <c r="H155" s="169">
        <f t="shared" si="27"/>
        <v>0</v>
      </c>
      <c r="I155" s="300">
        <f t="shared" si="28"/>
        <v>0</v>
      </c>
      <c r="J155" s="171">
        <f t="shared" si="29"/>
        <v>0</v>
      </c>
      <c r="K155" s="160"/>
      <c r="L155" s="317"/>
      <c r="M155" s="171">
        <f t="shared" si="30"/>
        <v>0</v>
      </c>
      <c r="N155" s="317"/>
      <c r="O155" s="171">
        <f t="shared" si="31"/>
        <v>0</v>
      </c>
      <c r="P155" s="171">
        <f t="shared" si="32"/>
        <v>0</v>
      </c>
      <c r="Q155" s="1"/>
      <c r="R155" s="1"/>
      <c r="S155" s="1"/>
      <c r="T155" s="1"/>
      <c r="U155" s="1"/>
    </row>
    <row r="156" spans="2:21">
      <c r="C156" s="156" t="s">
        <v>75</v>
      </c>
      <c r="D156" s="112"/>
      <c r="E156" s="112">
        <f>SUM(E100:E155)</f>
        <v>28914235.740000002</v>
      </c>
      <c r="F156" s="112"/>
      <c r="G156" s="112"/>
      <c r="H156" s="112">
        <f>SUM(H100:H155)</f>
        <v>87826334.399628639</v>
      </c>
      <c r="I156" s="112">
        <f>SUM(I100:I155)</f>
        <v>87826334.399628639</v>
      </c>
      <c r="J156" s="112">
        <f>SUM(J100:J155)</f>
        <v>0</v>
      </c>
      <c r="K156" s="112"/>
      <c r="L156" s="112"/>
      <c r="M156" s="112"/>
      <c r="N156" s="112"/>
      <c r="O156" s="112"/>
      <c r="P156" s="1"/>
      <c r="Q156" s="1"/>
      <c r="R156" s="1"/>
      <c r="S156" s="1"/>
      <c r="T156" s="1"/>
      <c r="U156" s="1"/>
    </row>
    <row r="157" spans="2:21">
      <c r="D157" s="2"/>
      <c r="E157" s="1"/>
      <c r="F157" s="1"/>
      <c r="G157" s="1"/>
      <c r="H157" s="1"/>
      <c r="I157" s="3"/>
      <c r="J157" s="3"/>
      <c r="K157" s="112"/>
      <c r="L157" s="3"/>
      <c r="M157" s="3"/>
      <c r="N157" s="3"/>
      <c r="O157" s="3"/>
      <c r="P157" s="1"/>
      <c r="Q157" s="1"/>
      <c r="R157" s="1"/>
      <c r="S157" s="1"/>
      <c r="T157" s="1"/>
      <c r="U157" s="1"/>
    </row>
    <row r="158" spans="2:21">
      <c r="C158" s="215" t="s">
        <v>90</v>
      </c>
      <c r="D158" s="2"/>
      <c r="E158" s="1"/>
      <c r="F158" s="1"/>
      <c r="G158" s="1"/>
      <c r="H158" s="1"/>
      <c r="I158" s="3"/>
      <c r="J158" s="3"/>
      <c r="K158" s="112"/>
      <c r="L158" s="3"/>
      <c r="M158" s="3"/>
      <c r="N158" s="3"/>
      <c r="O158" s="3"/>
      <c r="P158" s="1"/>
      <c r="Q158" s="1"/>
      <c r="R158" s="1"/>
      <c r="S158" s="1"/>
      <c r="T158" s="1"/>
      <c r="U158" s="1"/>
    </row>
    <row r="159" spans="2:21">
      <c r="D159" s="2"/>
      <c r="E159" s="1"/>
      <c r="F159" s="1"/>
      <c r="G159" s="1"/>
      <c r="H159" s="1"/>
      <c r="I159" s="3"/>
      <c r="J159" s="3"/>
      <c r="K159" s="112"/>
      <c r="L159" s="3"/>
      <c r="M159" s="3"/>
      <c r="N159" s="3"/>
      <c r="O159" s="3"/>
      <c r="P159" s="1"/>
      <c r="Q159" s="1"/>
      <c r="R159" s="1"/>
      <c r="S159" s="1"/>
      <c r="T159" s="1"/>
      <c r="U159" s="1"/>
    </row>
    <row r="160" spans="2:21">
      <c r="C160" s="172" t="s">
        <v>96</v>
      </c>
      <c r="D160" s="156"/>
      <c r="E160" s="156"/>
      <c r="F160" s="156"/>
      <c r="G160" s="156"/>
      <c r="H160" s="112"/>
      <c r="I160" s="112"/>
      <c r="J160" s="173"/>
      <c r="K160" s="173"/>
      <c r="L160" s="173"/>
      <c r="M160" s="173"/>
      <c r="N160" s="173"/>
      <c r="O160" s="173"/>
      <c r="P160" s="1"/>
      <c r="Q160" s="1"/>
      <c r="R160" s="1"/>
      <c r="S160" s="1"/>
      <c r="T160" s="1"/>
      <c r="U160" s="1"/>
    </row>
    <row r="161" spans="3:21">
      <c r="C161" s="216" t="s">
        <v>76</v>
      </c>
      <c r="D161" s="156"/>
      <c r="E161" s="156"/>
      <c r="F161" s="156"/>
      <c r="G161" s="156"/>
      <c r="H161" s="112"/>
      <c r="I161" s="112"/>
      <c r="J161" s="173"/>
      <c r="K161" s="173"/>
      <c r="L161" s="173"/>
      <c r="M161" s="173"/>
      <c r="N161" s="173"/>
      <c r="O161" s="173"/>
      <c r="P161" s="1"/>
      <c r="Q161" s="1"/>
      <c r="R161" s="1"/>
      <c r="S161" s="1"/>
      <c r="T161" s="1"/>
      <c r="U161" s="1"/>
    </row>
    <row r="162" spans="3:21">
      <c r="C162" s="216" t="s">
        <v>77</v>
      </c>
      <c r="D162" s="156"/>
      <c r="E162" s="156"/>
      <c r="F162" s="156"/>
      <c r="G162" s="156"/>
      <c r="H162" s="112"/>
      <c r="I162" s="112"/>
      <c r="J162" s="173"/>
      <c r="K162" s="173"/>
      <c r="L162" s="173"/>
      <c r="M162" s="173"/>
      <c r="N162" s="173"/>
      <c r="O162" s="173"/>
      <c r="P162" s="1"/>
      <c r="Q162" s="1"/>
      <c r="R162" s="1"/>
      <c r="S162" s="1"/>
      <c r="T162" s="1"/>
      <c r="U162" s="1"/>
    </row>
    <row r="163" spans="3:21" ht="18">
      <c r="C163" s="216"/>
      <c r="D163" s="156"/>
      <c r="E163" s="156"/>
      <c r="F163" s="156"/>
      <c r="G163" s="156"/>
      <c r="H163" s="112"/>
      <c r="I163" s="112"/>
      <c r="J163" s="173"/>
      <c r="K163" s="173"/>
      <c r="L163" s="173"/>
      <c r="M163" s="173"/>
      <c r="N163" s="173"/>
      <c r="P163" s="242" t="s">
        <v>129</v>
      </c>
      <c r="Q163" s="1"/>
      <c r="R163" s="1"/>
      <c r="S163" s="1"/>
      <c r="T163" s="1"/>
      <c r="U163" s="1"/>
    </row>
  </sheetData>
  <phoneticPr fontId="0" type="noConversion"/>
  <conditionalFormatting sqref="C17:C73">
    <cfRule type="cellIs" dxfId="37" priority="1" stopIfTrue="1" operator="equal">
      <formula>$I$10</formula>
    </cfRule>
  </conditionalFormatting>
  <conditionalFormatting sqref="C100:C155">
    <cfRule type="cellIs" dxfId="36"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2B8AE04B-43E6-4C73-8396-0435066DF31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AEP Internal</cp:keywords>
  <cp:lastModifiedBy>s177040</cp:lastModifiedBy>
  <cp:lastPrinted>2019-04-10T12:36:50Z</cp:lastPrinted>
  <dcterms:created xsi:type="dcterms:W3CDTF">2009-05-11T14:02:48Z</dcterms:created>
  <dcterms:modified xsi:type="dcterms:W3CDTF">2019-05-28T13:16:38Z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d54ab196-475d-4be3-8542-e90186861649</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